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ml.chartshapes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ml.chartshapes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ml.chartshapes+xml"/>
  <Override PartName="/xl/charts/chart22.xml" ContentType="application/vnd.openxmlformats-officedocument.drawingml.chart+xml"/>
  <Override PartName="/xl/drawings/drawing15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6.xml" ContentType="application/vnd.openxmlformats-officedocument.drawingml.chartshapes+xml"/>
  <Override PartName="/xl/charts/chart25.xml" ContentType="application/vnd.openxmlformats-officedocument.drawingml.chart+xml"/>
  <Override PartName="/xl/drawings/drawing17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8.xml" ContentType="application/vnd.openxmlformats-officedocument.drawingml.chartshapes+xml"/>
  <Override PartName="/xl/charts/chart28.xml" ContentType="application/vnd.openxmlformats-officedocument.drawingml.chart+xml"/>
  <Override PartName="/xl/drawings/drawing19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0.xml" ContentType="application/vnd.openxmlformats-officedocument.drawingml.chartshapes+xml"/>
  <Override PartName="/xl/charts/chart31.xml" ContentType="application/vnd.openxmlformats-officedocument.drawingml.chart+xml"/>
  <Override PartName="/xl/drawings/drawing2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2.xml" ContentType="application/vnd.openxmlformats-officedocument.drawingml.chartshapes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ml.chartshapes+xml"/>
  <Override PartName="/xl/charts/chart37.xml" ContentType="application/vnd.openxmlformats-officedocument.drawingml.chart+xml"/>
  <Override PartName="/xl/drawings/drawing25.xml" ContentType="application/vnd.openxmlformats-officedocument.drawing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6.xml" ContentType="application/vnd.openxmlformats-officedocument.drawingml.chartshapes+xml"/>
  <Override PartName="/xl/charts/chart4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davedavenport/Dropbox/"/>
    </mc:Choice>
  </mc:AlternateContent>
  <xr:revisionPtr revIDLastSave="0" documentId="13_ncr:1_{1E59BD25-35DC-3C49-9A58-53737ECE938B}" xr6:coauthVersionLast="47" xr6:coauthVersionMax="47" xr10:uidLastSave="{00000000-0000-0000-0000-000000000000}"/>
  <bookViews>
    <workbookView xWindow="2580" yWindow="620" windowWidth="48620" windowHeight="28180" activeTab="1" xr2:uid="{82031C3B-FE57-844E-9C16-F48E27398E37}"/>
  </bookViews>
  <sheets>
    <sheet name="MY STATS" sheetId="16" r:id="rId1"/>
    <sheet name="JAN" sheetId="4" r:id="rId2"/>
    <sheet name="FEB" sheetId="31" r:id="rId3"/>
    <sheet name="MAR" sheetId="32" r:id="rId4"/>
    <sheet name="APR" sheetId="33" r:id="rId5"/>
    <sheet name="MAY" sheetId="34" r:id="rId6"/>
    <sheet name="JUN" sheetId="35" r:id="rId7"/>
    <sheet name="JUL" sheetId="36" r:id="rId8"/>
    <sheet name="AUG" sheetId="37" r:id="rId9"/>
    <sheet name="SEP" sheetId="38" r:id="rId10"/>
    <sheet name="OCT" sheetId="39" r:id="rId11"/>
    <sheet name="Sheet1" sheetId="30" state="hidden" r:id="rId12"/>
    <sheet name="NOV" sheetId="40" r:id="rId13"/>
    <sheet name="DEC" sheetId="41" r:id="rId14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1" i="16" l="1"/>
  <c r="AF51" i="16"/>
  <c r="AE52" i="16"/>
  <c r="AF52" i="16"/>
  <c r="AE53" i="16"/>
  <c r="AF53" i="16"/>
  <c r="AE54" i="16"/>
  <c r="AF54" i="16"/>
  <c r="AE55" i="16"/>
  <c r="AF55" i="16"/>
  <c r="AE56" i="16"/>
  <c r="AF56" i="16"/>
  <c r="AE57" i="16"/>
  <c r="AF57" i="16"/>
  <c r="AE58" i="16"/>
  <c r="AF58" i="16"/>
  <c r="AE59" i="16"/>
  <c r="AF59" i="16"/>
  <c r="AE60" i="16"/>
  <c r="AF60" i="16"/>
  <c r="AE61" i="16"/>
  <c r="AF61" i="16"/>
  <c r="AE62" i="16"/>
  <c r="AF62" i="16"/>
  <c r="AE63" i="16"/>
  <c r="AF63" i="16"/>
  <c r="AE64" i="16"/>
  <c r="AF64" i="16"/>
  <c r="AE65" i="16"/>
  <c r="AF65" i="16"/>
  <c r="AE66" i="16"/>
  <c r="AF66" i="16"/>
  <c r="AE67" i="16"/>
  <c r="AF67" i="16"/>
  <c r="AE68" i="16"/>
  <c r="AF68" i="16"/>
  <c r="AE69" i="16"/>
  <c r="AF69" i="16"/>
  <c r="AE70" i="16"/>
  <c r="AF70" i="16"/>
  <c r="AE71" i="16"/>
  <c r="AF71" i="16"/>
  <c r="AE72" i="16"/>
  <c r="AF72" i="16"/>
  <c r="AE73" i="16"/>
  <c r="AF73" i="16"/>
  <c r="AE74" i="16"/>
  <c r="AF74" i="16"/>
  <c r="B8" i="16"/>
  <c r="AF29" i="4"/>
  <c r="AG29" i="4"/>
  <c r="AE75" i="16"/>
  <c r="AF75" i="16"/>
  <c r="D47" i="16"/>
  <c r="D48" i="16"/>
  <c r="F22" i="16"/>
  <c r="Z5" i="4"/>
  <c r="Z6" i="4"/>
  <c r="Z7" i="4"/>
  <c r="Z8" i="4"/>
  <c r="Z9" i="4"/>
  <c r="Z10" i="4"/>
  <c r="Z11" i="4"/>
  <c r="Z14" i="4"/>
  <c r="Z15" i="4"/>
  <c r="Z16" i="4"/>
  <c r="Z17" i="4"/>
  <c r="Z18" i="4"/>
  <c r="Z19" i="4"/>
  <c r="Z20" i="4"/>
  <c r="Z23" i="4"/>
  <c r="Z24" i="4"/>
  <c r="Z25" i="4"/>
  <c r="Z26" i="4"/>
  <c r="Z27" i="4"/>
  <c r="Z28" i="4"/>
  <c r="Z29" i="4"/>
  <c r="Z32" i="4"/>
  <c r="Z33" i="4"/>
  <c r="Z34" i="4"/>
  <c r="Z35" i="4"/>
  <c r="Z36" i="4"/>
  <c r="Z37" i="4"/>
  <c r="Z38" i="4"/>
  <c r="Z41" i="4"/>
  <c r="Z42" i="4"/>
  <c r="Z43" i="4"/>
  <c r="Z44" i="4"/>
  <c r="Z45" i="4"/>
  <c r="Z46" i="4"/>
  <c r="Z47" i="4"/>
  <c r="Z50" i="4"/>
  <c r="Z51" i="4"/>
  <c r="X9" i="4"/>
  <c r="X10" i="4"/>
  <c r="X11" i="4"/>
  <c r="X14" i="4"/>
  <c r="X15" i="4"/>
  <c r="X16" i="4"/>
  <c r="X17" i="4"/>
  <c r="X18" i="4"/>
  <c r="X19" i="4"/>
  <c r="X20" i="4"/>
  <c r="X23" i="4"/>
  <c r="X24" i="4"/>
  <c r="X25" i="4"/>
  <c r="X26" i="4"/>
  <c r="X27" i="4"/>
  <c r="X28" i="4"/>
  <c r="X29" i="4"/>
  <c r="X32" i="4"/>
  <c r="X33" i="4"/>
  <c r="X34" i="4"/>
  <c r="X35" i="4"/>
  <c r="X36" i="4"/>
  <c r="X37" i="4"/>
  <c r="X38" i="4"/>
  <c r="X41" i="4"/>
  <c r="X42" i="4"/>
  <c r="X43" i="4"/>
  <c r="X44" i="4"/>
  <c r="X45" i="4"/>
  <c r="X46" i="4"/>
  <c r="X47" i="4"/>
  <c r="X50" i="4"/>
  <c r="X51" i="4"/>
  <c r="AA51" i="4"/>
  <c r="H55" i="4"/>
  <c r="I32" i="16"/>
  <c r="I44" i="16"/>
  <c r="I45" i="16"/>
  <c r="AF30" i="4"/>
  <c r="AG30" i="4"/>
  <c r="AE76" i="16"/>
  <c r="AF76" i="16"/>
  <c r="AE77" i="16"/>
  <c r="AF77" i="16"/>
  <c r="AG51" i="16"/>
  <c r="S51" i="16"/>
  <c r="X77" i="16"/>
  <c r="AG52" i="16"/>
  <c r="S52" i="16"/>
  <c r="X76" i="16"/>
  <c r="AG53" i="16"/>
  <c r="S53" i="16"/>
  <c r="X75" i="16"/>
  <c r="AG54" i="16"/>
  <c r="S54" i="16"/>
  <c r="X74" i="16"/>
  <c r="AG55" i="16"/>
  <c r="S55" i="16"/>
  <c r="X73" i="16"/>
  <c r="AG56" i="16"/>
  <c r="S56" i="16"/>
  <c r="X72" i="16"/>
  <c r="AG57" i="16"/>
  <c r="S57" i="16"/>
  <c r="X71" i="16"/>
  <c r="AG58" i="16"/>
  <c r="S58" i="16"/>
  <c r="X70" i="16"/>
  <c r="AG59" i="16"/>
  <c r="S59" i="16"/>
  <c r="X69" i="16"/>
  <c r="AG60" i="16"/>
  <c r="S60" i="16"/>
  <c r="X68" i="16"/>
  <c r="AG61" i="16"/>
  <c r="S61" i="16"/>
  <c r="X67" i="16"/>
  <c r="AG62" i="16"/>
  <c r="S62" i="16"/>
  <c r="X66" i="16"/>
  <c r="AG63" i="16"/>
  <c r="S63" i="16"/>
  <c r="X65" i="16"/>
  <c r="AG64" i="16"/>
  <c r="S64" i="16"/>
  <c r="X64" i="16"/>
  <c r="AG65" i="16"/>
  <c r="S65" i="16"/>
  <c r="X63" i="16"/>
  <c r="AG66" i="16"/>
  <c r="S66" i="16"/>
  <c r="X62" i="16"/>
  <c r="AG67" i="16"/>
  <c r="S67" i="16"/>
  <c r="X61" i="16"/>
  <c r="AG68" i="16"/>
  <c r="S68" i="16"/>
  <c r="X60" i="16"/>
  <c r="AG69" i="16"/>
  <c r="S69" i="16"/>
  <c r="X59" i="16"/>
  <c r="AG70" i="16"/>
  <c r="S70" i="16"/>
  <c r="AG71" i="16"/>
  <c r="S71" i="16"/>
  <c r="AG72" i="16"/>
  <c r="S72" i="16"/>
  <c r="AG73" i="16"/>
  <c r="S73" i="16"/>
  <c r="X58" i="16"/>
  <c r="AG74" i="16"/>
  <c r="S74" i="16"/>
  <c r="AG75" i="16"/>
  <c r="S75" i="16"/>
  <c r="AG76" i="16"/>
  <c r="S76" i="16"/>
  <c r="AG77" i="16"/>
  <c r="S77" i="16"/>
  <c r="X57" i="16"/>
  <c r="X55" i="16"/>
  <c r="X54" i="16"/>
  <c r="X53" i="16"/>
  <c r="X52" i="16"/>
  <c r="X51" i="16"/>
  <c r="U51" i="16"/>
  <c r="U52" i="16"/>
  <c r="U53" i="16"/>
  <c r="U70" i="16"/>
  <c r="U71" i="16"/>
  <c r="U76" i="16"/>
  <c r="W53" i="16"/>
  <c r="Y53" i="16"/>
  <c r="AC53" i="16"/>
  <c r="X56" i="16"/>
  <c r="AB54" i="16"/>
  <c r="AA53" i="16"/>
  <c r="AD53" i="16"/>
  <c r="U54" i="16"/>
  <c r="U72" i="16"/>
  <c r="W54" i="16"/>
  <c r="Y54" i="16"/>
  <c r="AC54" i="16"/>
  <c r="AD54" i="16"/>
  <c r="U55" i="16"/>
  <c r="U75" i="16"/>
  <c r="W55" i="16"/>
  <c r="Y55" i="16"/>
  <c r="AC55" i="16"/>
  <c r="AD55" i="16"/>
  <c r="U56" i="16"/>
  <c r="W56" i="16"/>
  <c r="AC56" i="16"/>
  <c r="AD56" i="16"/>
  <c r="U57" i="16"/>
  <c r="U77" i="16"/>
  <c r="W57" i="16"/>
  <c r="Y57" i="16"/>
  <c r="AC57" i="16"/>
  <c r="U58" i="16"/>
  <c r="U73" i="16"/>
  <c r="W58" i="16"/>
  <c r="Y58" i="16"/>
  <c r="AC58" i="16"/>
  <c r="U59" i="16"/>
  <c r="U69" i="16"/>
  <c r="W59" i="16"/>
  <c r="Y59" i="16"/>
  <c r="AC59" i="16"/>
  <c r="U60" i="16"/>
  <c r="U68" i="16"/>
  <c r="W60" i="16"/>
  <c r="Y60" i="16"/>
  <c r="AC60" i="16"/>
  <c r="U61" i="16"/>
  <c r="U67" i="16"/>
  <c r="W61" i="16"/>
  <c r="Y61" i="16"/>
  <c r="AC61" i="16"/>
  <c r="U62" i="16"/>
  <c r="U66" i="16"/>
  <c r="W62" i="16"/>
  <c r="Y62" i="16"/>
  <c r="AC62" i="16"/>
  <c r="U63" i="16"/>
  <c r="U65" i="16"/>
  <c r="W63" i="16"/>
  <c r="Y63" i="16"/>
  <c r="AC63" i="16"/>
  <c r="U64" i="16"/>
  <c r="W64" i="16"/>
  <c r="Y64" i="16"/>
  <c r="AC64" i="16"/>
  <c r="AE33" i="4"/>
  <c r="AD33" i="4"/>
  <c r="C18" i="16"/>
  <c r="AD64" i="16"/>
  <c r="W65" i="16"/>
  <c r="Y65" i="16"/>
  <c r="AC65" i="16"/>
  <c r="AD65" i="16"/>
  <c r="W66" i="16"/>
  <c r="Y66" i="16"/>
  <c r="AC66" i="16"/>
  <c r="AD66" i="16"/>
  <c r="W67" i="16"/>
  <c r="Y67" i="16"/>
  <c r="AC67" i="16"/>
  <c r="W68" i="16"/>
  <c r="Y68" i="16"/>
  <c r="AC68" i="16"/>
  <c r="W69" i="16"/>
  <c r="Y69" i="16"/>
  <c r="AC69" i="16"/>
  <c r="W70" i="16"/>
  <c r="Y70" i="16"/>
  <c r="AC70" i="16"/>
  <c r="W71" i="16"/>
  <c r="Y71" i="16"/>
  <c r="AC71" i="16"/>
  <c r="W72" i="16"/>
  <c r="Y72" i="16"/>
  <c r="AC72" i="16"/>
  <c r="W73" i="16"/>
  <c r="Y73" i="16"/>
  <c r="AC73" i="16"/>
  <c r="U74" i="16"/>
  <c r="W74" i="16"/>
  <c r="Y74" i="16"/>
  <c r="AC74" i="16"/>
  <c r="W75" i="16"/>
  <c r="Y75" i="16"/>
  <c r="AC75" i="16"/>
  <c r="W76" i="16"/>
  <c r="Y76" i="16"/>
  <c r="AC76" i="16"/>
  <c r="AD76" i="16"/>
  <c r="W77" i="16"/>
  <c r="Y77" i="16"/>
  <c r="AC77" i="16"/>
  <c r="Y5" i="4"/>
  <c r="Y6" i="4"/>
  <c r="Y7" i="4"/>
  <c r="Y8" i="4"/>
  <c r="Y9" i="4"/>
  <c r="Y10" i="4"/>
  <c r="Y11" i="4"/>
  <c r="Y14" i="4"/>
  <c r="Y15" i="4"/>
  <c r="Y16" i="4"/>
  <c r="Y17" i="4"/>
  <c r="Y18" i="4"/>
  <c r="Y19" i="4"/>
  <c r="Y20" i="4"/>
  <c r="Y23" i="4"/>
  <c r="Y24" i="4"/>
  <c r="Y25" i="4"/>
  <c r="Y26" i="4"/>
  <c r="Y27" i="4"/>
  <c r="Y28" i="4"/>
  <c r="Y29" i="4"/>
  <c r="Y32" i="4"/>
  <c r="Y33" i="4"/>
  <c r="Y34" i="4"/>
  <c r="Y35" i="4"/>
  <c r="Y36" i="4"/>
  <c r="Y37" i="4"/>
  <c r="Y38" i="4"/>
  <c r="Y41" i="4"/>
  <c r="Y42" i="4"/>
  <c r="Y43" i="4"/>
  <c r="Y44" i="4"/>
  <c r="Y45" i="4"/>
  <c r="Y46" i="4"/>
  <c r="Y47" i="4"/>
  <c r="Y50" i="4"/>
  <c r="Y51" i="4"/>
  <c r="X5" i="4"/>
  <c r="X6" i="4"/>
  <c r="X7" i="4"/>
  <c r="X8" i="4"/>
  <c r="X28" i="31"/>
  <c r="X29" i="31"/>
  <c r="X32" i="31"/>
  <c r="X33" i="31"/>
  <c r="X34" i="31"/>
  <c r="X35" i="31"/>
  <c r="X36" i="31"/>
  <c r="X37" i="31"/>
  <c r="X38" i="31"/>
  <c r="X41" i="31"/>
  <c r="X42" i="31"/>
  <c r="X43" i="31"/>
  <c r="X44" i="31"/>
  <c r="X45" i="31"/>
  <c r="X46" i="31"/>
  <c r="X47" i="31"/>
  <c r="X50" i="31"/>
  <c r="X51" i="31"/>
  <c r="AA51" i="31"/>
  <c r="H55" i="31"/>
  <c r="I33" i="16"/>
  <c r="X34" i="32"/>
  <c r="X35" i="32"/>
  <c r="X36" i="32"/>
  <c r="X37" i="32"/>
  <c r="X38" i="32"/>
  <c r="X41" i="32"/>
  <c r="X42" i="32"/>
  <c r="X43" i="32"/>
  <c r="X44" i="32"/>
  <c r="X45" i="32"/>
  <c r="X46" i="32"/>
  <c r="X47" i="32"/>
  <c r="X50" i="32"/>
  <c r="X51" i="32"/>
  <c r="AA51" i="32"/>
  <c r="H55" i="32"/>
  <c r="I34" i="16"/>
  <c r="X33" i="33"/>
  <c r="X34" i="33"/>
  <c r="X35" i="33"/>
  <c r="X36" i="33"/>
  <c r="X37" i="33"/>
  <c r="X38" i="33"/>
  <c r="X41" i="33"/>
  <c r="X42" i="33"/>
  <c r="X43" i="33"/>
  <c r="X44" i="33"/>
  <c r="X45" i="33"/>
  <c r="X46" i="33"/>
  <c r="X47" i="33"/>
  <c r="X50" i="33"/>
  <c r="X51" i="33"/>
  <c r="AA51" i="33"/>
  <c r="H55" i="33"/>
  <c r="I35" i="16"/>
  <c r="X35" i="34"/>
  <c r="X36" i="34"/>
  <c r="X37" i="34"/>
  <c r="X38" i="34"/>
  <c r="X41" i="34"/>
  <c r="X42" i="34"/>
  <c r="X43" i="34"/>
  <c r="X44" i="34"/>
  <c r="X45" i="34"/>
  <c r="X46" i="34"/>
  <c r="X47" i="34"/>
  <c r="X50" i="34"/>
  <c r="X51" i="34"/>
  <c r="AA51" i="34"/>
  <c r="H55" i="34"/>
  <c r="I36" i="16"/>
  <c r="AE34" i="4"/>
  <c r="D49" i="16"/>
  <c r="D50" i="16"/>
  <c r="D32" i="16"/>
  <c r="D33" i="16"/>
  <c r="F33" i="16"/>
  <c r="D34" i="16"/>
  <c r="D35" i="16"/>
  <c r="D36" i="16"/>
  <c r="D37" i="16"/>
  <c r="D38" i="16"/>
  <c r="D39" i="16"/>
  <c r="D40" i="16"/>
  <c r="D41" i="16"/>
  <c r="D42" i="16"/>
  <c r="D43" i="16"/>
  <c r="D44" i="16"/>
  <c r="Z10" i="35"/>
  <c r="Z11" i="35"/>
  <c r="Z14" i="35"/>
  <c r="Z15" i="35"/>
  <c r="Z16" i="35"/>
  <c r="Z17" i="35"/>
  <c r="Z18" i="35"/>
  <c r="Z19" i="35"/>
  <c r="Z20" i="35"/>
  <c r="Z23" i="35"/>
  <c r="Z24" i="35"/>
  <c r="Z25" i="35"/>
  <c r="Z26" i="35"/>
  <c r="Z27" i="35"/>
  <c r="Z28" i="35"/>
  <c r="Z29" i="35"/>
  <c r="Z32" i="35"/>
  <c r="Z33" i="35"/>
  <c r="Z34" i="35"/>
  <c r="Z35" i="35"/>
  <c r="Z36" i="35"/>
  <c r="Z37" i="35"/>
  <c r="Z38" i="35"/>
  <c r="Z41" i="35"/>
  <c r="Z42" i="35"/>
  <c r="Z43" i="35"/>
  <c r="Z44" i="35"/>
  <c r="Z45" i="35"/>
  <c r="Z46" i="35"/>
  <c r="Z47" i="35"/>
  <c r="Z50" i="35"/>
  <c r="Z51" i="35"/>
  <c r="AA51" i="35"/>
  <c r="H55" i="35"/>
  <c r="I37" i="16"/>
  <c r="Z5" i="36"/>
  <c r="Z6" i="36"/>
  <c r="Z7" i="36"/>
  <c r="Z8" i="36"/>
  <c r="Z9" i="36"/>
  <c r="Z10" i="36"/>
  <c r="Z11" i="36"/>
  <c r="Z14" i="36"/>
  <c r="Z15" i="36"/>
  <c r="Z16" i="36"/>
  <c r="Z17" i="36"/>
  <c r="Z18" i="36"/>
  <c r="Z19" i="36"/>
  <c r="Z20" i="36"/>
  <c r="Z23" i="36"/>
  <c r="Z24" i="36"/>
  <c r="Z25" i="36"/>
  <c r="Z26" i="36"/>
  <c r="Z27" i="36"/>
  <c r="Z28" i="36"/>
  <c r="Z29" i="36"/>
  <c r="Z32" i="36"/>
  <c r="Z33" i="36"/>
  <c r="Z34" i="36"/>
  <c r="Z35" i="36"/>
  <c r="Z36" i="36"/>
  <c r="Z37" i="36"/>
  <c r="Z38" i="36"/>
  <c r="Z41" i="36"/>
  <c r="Z42" i="36"/>
  <c r="Z43" i="36"/>
  <c r="Z44" i="36"/>
  <c r="Z45" i="36"/>
  <c r="Z46" i="36"/>
  <c r="Z47" i="36"/>
  <c r="Z50" i="36"/>
  <c r="Z51" i="36"/>
  <c r="AA51" i="36"/>
  <c r="H55" i="36"/>
  <c r="I38" i="16"/>
  <c r="Z8" i="37"/>
  <c r="Z9" i="37"/>
  <c r="Z10" i="37"/>
  <c r="Z11" i="37"/>
  <c r="Z14" i="37"/>
  <c r="Z15" i="37"/>
  <c r="Z16" i="37"/>
  <c r="Z17" i="37"/>
  <c r="Z18" i="37"/>
  <c r="Z19" i="37"/>
  <c r="Z20" i="37"/>
  <c r="Z23" i="37"/>
  <c r="Z24" i="37"/>
  <c r="Z25" i="37"/>
  <c r="Z26" i="37"/>
  <c r="Z27" i="37"/>
  <c r="Z28" i="37"/>
  <c r="Z29" i="37"/>
  <c r="Z32" i="37"/>
  <c r="Z33" i="37"/>
  <c r="Z34" i="37"/>
  <c r="Z35" i="37"/>
  <c r="Z36" i="37"/>
  <c r="Z37" i="37"/>
  <c r="Z38" i="37"/>
  <c r="Z41" i="37"/>
  <c r="Z42" i="37"/>
  <c r="Z43" i="37"/>
  <c r="Z44" i="37"/>
  <c r="Z45" i="37"/>
  <c r="Z46" i="37"/>
  <c r="Z47" i="37"/>
  <c r="Z50" i="37"/>
  <c r="Z51" i="37"/>
  <c r="AA51" i="37"/>
  <c r="H55" i="37"/>
  <c r="I39" i="16"/>
  <c r="Z11" i="38"/>
  <c r="Z14" i="38"/>
  <c r="Z15" i="38"/>
  <c r="Z16" i="38"/>
  <c r="Z17" i="38"/>
  <c r="Z18" i="38"/>
  <c r="Z19" i="38"/>
  <c r="Z20" i="38"/>
  <c r="Z23" i="38"/>
  <c r="Z24" i="38"/>
  <c r="Z25" i="38"/>
  <c r="Z26" i="38"/>
  <c r="Z27" i="38"/>
  <c r="Z28" i="38"/>
  <c r="Z29" i="38"/>
  <c r="Z32" i="38"/>
  <c r="Z33" i="38"/>
  <c r="Z34" i="38"/>
  <c r="Z35" i="38"/>
  <c r="Z36" i="38"/>
  <c r="Z37" i="38"/>
  <c r="Z38" i="38"/>
  <c r="Z41" i="38"/>
  <c r="Z42" i="38"/>
  <c r="Z43" i="38"/>
  <c r="Z44" i="38"/>
  <c r="Z45" i="38"/>
  <c r="Z46" i="38"/>
  <c r="Z47" i="38"/>
  <c r="Z50" i="38"/>
  <c r="Z51" i="38"/>
  <c r="AA51" i="38"/>
  <c r="H55" i="38"/>
  <c r="I40" i="16"/>
  <c r="Z6" i="39"/>
  <c r="Z7" i="39"/>
  <c r="Z8" i="39"/>
  <c r="Z9" i="39"/>
  <c r="Z10" i="39"/>
  <c r="Z11" i="39"/>
  <c r="Z14" i="39"/>
  <c r="Z15" i="39"/>
  <c r="Z16" i="39"/>
  <c r="Z17" i="39"/>
  <c r="Z18" i="39"/>
  <c r="Z19" i="39"/>
  <c r="Z20" i="39"/>
  <c r="Z23" i="39"/>
  <c r="Z24" i="39"/>
  <c r="Z25" i="39"/>
  <c r="Z26" i="39"/>
  <c r="Z27" i="39"/>
  <c r="Z28" i="39"/>
  <c r="Z29" i="39"/>
  <c r="Z32" i="39"/>
  <c r="Z33" i="39"/>
  <c r="Z34" i="39"/>
  <c r="Z35" i="39"/>
  <c r="Z36" i="39"/>
  <c r="Z37" i="39"/>
  <c r="Z38" i="39"/>
  <c r="Z41" i="39"/>
  <c r="Z42" i="39"/>
  <c r="Z43" i="39"/>
  <c r="Z44" i="39"/>
  <c r="Z45" i="39"/>
  <c r="Z46" i="39"/>
  <c r="Z47" i="39"/>
  <c r="Z50" i="39"/>
  <c r="Z51" i="39"/>
  <c r="AA51" i="39"/>
  <c r="H55" i="39"/>
  <c r="I41" i="16"/>
  <c r="Z9" i="40"/>
  <c r="Z10" i="40"/>
  <c r="Z11" i="40"/>
  <c r="Z14" i="40"/>
  <c r="Z15" i="40"/>
  <c r="Z16" i="40"/>
  <c r="Z17" i="40"/>
  <c r="Z18" i="40"/>
  <c r="Z19" i="40"/>
  <c r="Z20" i="40"/>
  <c r="Z23" i="40"/>
  <c r="Z24" i="40"/>
  <c r="Z25" i="40"/>
  <c r="Z26" i="40"/>
  <c r="Z27" i="40"/>
  <c r="Z28" i="40"/>
  <c r="Z29" i="40"/>
  <c r="Z32" i="40"/>
  <c r="Z33" i="40"/>
  <c r="Z34" i="40"/>
  <c r="Z35" i="40"/>
  <c r="Z36" i="40"/>
  <c r="Z37" i="40"/>
  <c r="Z38" i="40"/>
  <c r="Z41" i="40"/>
  <c r="Z42" i="40"/>
  <c r="Z43" i="40"/>
  <c r="Z44" i="40"/>
  <c r="Z45" i="40"/>
  <c r="Z46" i="40"/>
  <c r="Z47" i="40"/>
  <c r="Z50" i="40"/>
  <c r="Z51" i="40"/>
  <c r="AA51" i="40"/>
  <c r="H55" i="40"/>
  <c r="I42" i="16"/>
  <c r="Z8" i="31"/>
  <c r="Z9" i="31"/>
  <c r="Z10" i="31"/>
  <c r="Z11" i="31"/>
  <c r="Z14" i="31"/>
  <c r="Z15" i="31"/>
  <c r="Z16" i="31"/>
  <c r="Z17" i="31"/>
  <c r="Z18" i="31"/>
  <c r="Z19" i="31"/>
  <c r="Z20" i="31"/>
  <c r="Z23" i="31"/>
  <c r="Z24" i="31"/>
  <c r="Z25" i="31"/>
  <c r="Z26" i="31"/>
  <c r="Z27" i="31"/>
  <c r="Z28" i="31"/>
  <c r="Z29" i="31"/>
  <c r="Z32" i="31"/>
  <c r="Z33" i="31"/>
  <c r="Z34" i="31"/>
  <c r="Z35" i="31"/>
  <c r="Z36" i="31"/>
  <c r="Z37" i="31"/>
  <c r="Z38" i="31"/>
  <c r="Z41" i="31"/>
  <c r="Z42" i="31"/>
  <c r="Z43" i="31"/>
  <c r="Z44" i="31"/>
  <c r="Z45" i="31"/>
  <c r="Z46" i="31"/>
  <c r="Z47" i="31"/>
  <c r="Z50" i="31"/>
  <c r="Z51" i="31"/>
  <c r="Z9" i="32"/>
  <c r="Z10" i="32"/>
  <c r="Z11" i="32"/>
  <c r="Z14" i="32"/>
  <c r="Z15" i="32"/>
  <c r="Z16" i="32"/>
  <c r="Z17" i="32"/>
  <c r="Z18" i="32"/>
  <c r="Z19" i="32"/>
  <c r="Z20" i="32"/>
  <c r="Z23" i="32"/>
  <c r="Z24" i="32"/>
  <c r="Z25" i="32"/>
  <c r="Z26" i="32"/>
  <c r="Z27" i="32"/>
  <c r="Z28" i="32"/>
  <c r="Z29" i="32"/>
  <c r="Z32" i="32"/>
  <c r="Z33" i="32"/>
  <c r="Z34" i="32"/>
  <c r="Z35" i="32"/>
  <c r="Z36" i="32"/>
  <c r="Z37" i="32"/>
  <c r="Z38" i="32"/>
  <c r="Z41" i="32"/>
  <c r="Z42" i="32"/>
  <c r="Z43" i="32"/>
  <c r="Z44" i="32"/>
  <c r="Z45" i="32"/>
  <c r="Z46" i="32"/>
  <c r="Z47" i="32"/>
  <c r="Z50" i="32"/>
  <c r="Z51" i="32"/>
  <c r="Z5" i="33"/>
  <c r="Z6" i="33"/>
  <c r="Z7" i="33"/>
  <c r="Z8" i="33"/>
  <c r="Z9" i="33"/>
  <c r="Z10" i="33"/>
  <c r="Z11" i="33"/>
  <c r="Z14" i="33"/>
  <c r="Z15" i="33"/>
  <c r="Z16" i="33"/>
  <c r="Z17" i="33"/>
  <c r="Z18" i="33"/>
  <c r="Z19" i="33"/>
  <c r="Z20" i="33"/>
  <c r="Z23" i="33"/>
  <c r="Z24" i="33"/>
  <c r="Z25" i="33"/>
  <c r="Z26" i="33"/>
  <c r="Z27" i="33"/>
  <c r="Z28" i="33"/>
  <c r="Z29" i="33"/>
  <c r="Z32" i="33"/>
  <c r="Z33" i="33"/>
  <c r="Z34" i="33"/>
  <c r="Z35" i="33"/>
  <c r="Z36" i="33"/>
  <c r="Z37" i="33"/>
  <c r="Z38" i="33"/>
  <c r="Z41" i="33"/>
  <c r="Z42" i="33"/>
  <c r="Z43" i="33"/>
  <c r="Z44" i="33"/>
  <c r="Z45" i="33"/>
  <c r="Z46" i="33"/>
  <c r="Z47" i="33"/>
  <c r="Z50" i="33"/>
  <c r="Z51" i="33"/>
  <c r="Z7" i="34"/>
  <c r="Z8" i="34"/>
  <c r="Z9" i="34"/>
  <c r="Z10" i="34"/>
  <c r="Z11" i="34"/>
  <c r="Z14" i="34"/>
  <c r="Z15" i="34"/>
  <c r="Z16" i="34"/>
  <c r="Z17" i="34"/>
  <c r="Z18" i="34"/>
  <c r="Z19" i="34"/>
  <c r="Z20" i="34"/>
  <c r="Z23" i="34"/>
  <c r="Z24" i="34"/>
  <c r="Z25" i="34"/>
  <c r="Z26" i="34"/>
  <c r="Z27" i="34"/>
  <c r="Z28" i="34"/>
  <c r="Z29" i="34"/>
  <c r="Z32" i="34"/>
  <c r="Z33" i="34"/>
  <c r="Z34" i="34"/>
  <c r="Z35" i="34"/>
  <c r="Z36" i="34"/>
  <c r="Z37" i="34"/>
  <c r="Z38" i="34"/>
  <c r="Z41" i="34"/>
  <c r="Z42" i="34"/>
  <c r="Z43" i="34"/>
  <c r="Z44" i="34"/>
  <c r="Z45" i="34"/>
  <c r="Z46" i="34"/>
  <c r="Z47" i="34"/>
  <c r="Z50" i="34"/>
  <c r="Z51" i="34"/>
  <c r="F44" i="16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11" i="4"/>
  <c r="AG10" i="4"/>
  <c r="AG9" i="4"/>
  <c r="AG8" i="4"/>
  <c r="AG7" i="4"/>
  <c r="AG6" i="4"/>
  <c r="AG5" i="4"/>
  <c r="AG31" i="4"/>
  <c r="U80" i="16"/>
  <c r="Z5" i="31"/>
  <c r="Z6" i="31"/>
  <c r="Z7" i="31"/>
  <c r="Y5" i="31"/>
  <c r="Y6" i="31"/>
  <c r="Y7" i="31"/>
  <c r="Y8" i="31"/>
  <c r="Y9" i="31"/>
  <c r="Y10" i="31"/>
  <c r="Y11" i="31"/>
  <c r="Y14" i="31"/>
  <c r="Y15" i="31"/>
  <c r="Y16" i="31"/>
  <c r="Y17" i="31"/>
  <c r="Y18" i="31"/>
  <c r="Y19" i="31"/>
  <c r="Y20" i="31"/>
  <c r="Y23" i="31"/>
  <c r="Y24" i="31"/>
  <c r="Y25" i="31"/>
  <c r="Y26" i="31"/>
  <c r="Y27" i="31"/>
  <c r="Y28" i="31"/>
  <c r="Y29" i="31"/>
  <c r="Y32" i="31"/>
  <c r="Y33" i="31"/>
  <c r="Y34" i="31"/>
  <c r="Y35" i="31"/>
  <c r="Y36" i="31"/>
  <c r="Y37" i="31"/>
  <c r="Y38" i="31"/>
  <c r="Y41" i="31"/>
  <c r="Y42" i="31"/>
  <c r="Y43" i="31"/>
  <c r="Y44" i="31"/>
  <c r="Y45" i="31"/>
  <c r="Y46" i="31"/>
  <c r="Y47" i="31"/>
  <c r="Y50" i="31"/>
  <c r="Y51" i="31"/>
  <c r="X5" i="31"/>
  <c r="X6" i="31"/>
  <c r="X7" i="31"/>
  <c r="X8" i="31"/>
  <c r="X9" i="31"/>
  <c r="X10" i="31"/>
  <c r="X11" i="31"/>
  <c r="X14" i="31"/>
  <c r="X15" i="31"/>
  <c r="X16" i="31"/>
  <c r="X17" i="31"/>
  <c r="X18" i="31"/>
  <c r="X19" i="31"/>
  <c r="X20" i="31"/>
  <c r="X23" i="31"/>
  <c r="X24" i="31"/>
  <c r="X25" i="31"/>
  <c r="X26" i="31"/>
  <c r="X27" i="31"/>
  <c r="Z7" i="32"/>
  <c r="Z8" i="32"/>
  <c r="Y5" i="33"/>
  <c r="Y6" i="33"/>
  <c r="Y7" i="33"/>
  <c r="Y8" i="33"/>
  <c r="Y9" i="33"/>
  <c r="Y10" i="33"/>
  <c r="Y11" i="33"/>
  <c r="Y14" i="33"/>
  <c r="Y15" i="33"/>
  <c r="Y16" i="33"/>
  <c r="Y17" i="33"/>
  <c r="Y18" i="33"/>
  <c r="Y19" i="33"/>
  <c r="Y20" i="33"/>
  <c r="Y23" i="33"/>
  <c r="Y24" i="33"/>
  <c r="Y25" i="33"/>
  <c r="Y26" i="33"/>
  <c r="Y27" i="33"/>
  <c r="Y28" i="33"/>
  <c r="Y29" i="33"/>
  <c r="Y32" i="33"/>
  <c r="Y33" i="33"/>
  <c r="Y34" i="33"/>
  <c r="Y35" i="33"/>
  <c r="Y36" i="33"/>
  <c r="Y37" i="33"/>
  <c r="Y38" i="33"/>
  <c r="Y41" i="33"/>
  <c r="Y42" i="33"/>
  <c r="Y43" i="33"/>
  <c r="Y44" i="33"/>
  <c r="Y45" i="33"/>
  <c r="Y46" i="33"/>
  <c r="Y47" i="33"/>
  <c r="Y50" i="33"/>
  <c r="Y51" i="33"/>
  <c r="X5" i="33"/>
  <c r="X6" i="33"/>
  <c r="X7" i="33"/>
  <c r="X8" i="33"/>
  <c r="X9" i="33"/>
  <c r="X10" i="33"/>
  <c r="X11" i="33"/>
  <c r="X14" i="33"/>
  <c r="X15" i="33"/>
  <c r="X16" i="33"/>
  <c r="X17" i="33"/>
  <c r="X18" i="33"/>
  <c r="X19" i="33"/>
  <c r="X20" i="33"/>
  <c r="X23" i="33"/>
  <c r="X24" i="33"/>
  <c r="X25" i="33"/>
  <c r="X26" i="33"/>
  <c r="X27" i="33"/>
  <c r="X28" i="33"/>
  <c r="X29" i="33"/>
  <c r="X32" i="33"/>
  <c r="Z5" i="34"/>
  <c r="Z6" i="34"/>
  <c r="Y5" i="34"/>
  <c r="Y6" i="34"/>
  <c r="Y7" i="34"/>
  <c r="Y8" i="34"/>
  <c r="Y9" i="34"/>
  <c r="Y10" i="34"/>
  <c r="Y11" i="34"/>
  <c r="Y14" i="34"/>
  <c r="Y15" i="34"/>
  <c r="Y16" i="34"/>
  <c r="Y17" i="34"/>
  <c r="Y18" i="34"/>
  <c r="Y19" i="34"/>
  <c r="Y20" i="34"/>
  <c r="Y23" i="34"/>
  <c r="Y24" i="34"/>
  <c r="Y25" i="34"/>
  <c r="Y26" i="34"/>
  <c r="Y27" i="34"/>
  <c r="Y28" i="34"/>
  <c r="Y29" i="34"/>
  <c r="Y32" i="34"/>
  <c r="Y33" i="34"/>
  <c r="Y34" i="34"/>
  <c r="Y35" i="34"/>
  <c r="Y36" i="34"/>
  <c r="Y37" i="34"/>
  <c r="Y38" i="34"/>
  <c r="Y41" i="34"/>
  <c r="Y42" i="34"/>
  <c r="Y43" i="34"/>
  <c r="Y44" i="34"/>
  <c r="Y45" i="34"/>
  <c r="Y46" i="34"/>
  <c r="Y47" i="34"/>
  <c r="Y50" i="34"/>
  <c r="Y51" i="34"/>
  <c r="X5" i="34"/>
  <c r="X6" i="34"/>
  <c r="X7" i="34"/>
  <c r="X8" i="34"/>
  <c r="X9" i="34"/>
  <c r="X10" i="34"/>
  <c r="X11" i="34"/>
  <c r="X14" i="34"/>
  <c r="X15" i="34"/>
  <c r="X16" i="34"/>
  <c r="X17" i="34"/>
  <c r="X18" i="34"/>
  <c r="X19" i="34"/>
  <c r="X20" i="34"/>
  <c r="X23" i="34"/>
  <c r="X24" i="34"/>
  <c r="X25" i="34"/>
  <c r="X26" i="34"/>
  <c r="X27" i="34"/>
  <c r="X28" i="34"/>
  <c r="X29" i="34"/>
  <c r="X32" i="34"/>
  <c r="X33" i="34"/>
  <c r="X34" i="34"/>
  <c r="Z8" i="35"/>
  <c r="Z9" i="35"/>
  <c r="Y14" i="35"/>
  <c r="Y15" i="35"/>
  <c r="Y16" i="35"/>
  <c r="Y17" i="35"/>
  <c r="Y18" i="35"/>
  <c r="Y19" i="35"/>
  <c r="Y20" i="35"/>
  <c r="Y23" i="35"/>
  <c r="Y24" i="35"/>
  <c r="Y25" i="35"/>
  <c r="Y26" i="35"/>
  <c r="Y27" i="35"/>
  <c r="Y28" i="35"/>
  <c r="Y29" i="35"/>
  <c r="Y32" i="35"/>
  <c r="Y33" i="35"/>
  <c r="Y34" i="35"/>
  <c r="Y35" i="35"/>
  <c r="Y36" i="35"/>
  <c r="Y37" i="35"/>
  <c r="Y38" i="35"/>
  <c r="Y41" i="35"/>
  <c r="Y42" i="35"/>
  <c r="Y43" i="35"/>
  <c r="Y44" i="35"/>
  <c r="Y45" i="35"/>
  <c r="Y46" i="35"/>
  <c r="Y47" i="35"/>
  <c r="Y50" i="35"/>
  <c r="Y51" i="35"/>
  <c r="Z6" i="37"/>
  <c r="Z7" i="37"/>
  <c r="Z9" i="38"/>
  <c r="Z10" i="38"/>
  <c r="Z7" i="40"/>
  <c r="Z8" i="40"/>
  <c r="Z9" i="41"/>
  <c r="Z10" i="41"/>
  <c r="Z11" i="41"/>
  <c r="Z14" i="41"/>
  <c r="Z15" i="41"/>
  <c r="Z16" i="41"/>
  <c r="Z17" i="41"/>
  <c r="Z18" i="41"/>
  <c r="Z19" i="41"/>
  <c r="Z20" i="41"/>
  <c r="Z23" i="41"/>
  <c r="Z24" i="41"/>
  <c r="Z25" i="41"/>
  <c r="Z26" i="41"/>
  <c r="Z27" i="41"/>
  <c r="Z28" i="41"/>
  <c r="Z29" i="41"/>
  <c r="Z32" i="41"/>
  <c r="Z33" i="41"/>
  <c r="Z34" i="41"/>
  <c r="Z35" i="41"/>
  <c r="Z36" i="41"/>
  <c r="Z37" i="41"/>
  <c r="Z38" i="41"/>
  <c r="Z41" i="41"/>
  <c r="Z42" i="41"/>
  <c r="Z43" i="41"/>
  <c r="Z44" i="41"/>
  <c r="Z45" i="41"/>
  <c r="Z46" i="41"/>
  <c r="Z47" i="41"/>
  <c r="Z50" i="41"/>
  <c r="Z51" i="41"/>
  <c r="AA51" i="41"/>
  <c r="H55" i="41"/>
  <c r="I43" i="16"/>
  <c r="B2" i="4"/>
  <c r="D53" i="16"/>
  <c r="C32" i="16"/>
  <c r="C3" i="4"/>
  <c r="C11" i="4"/>
  <c r="C14" i="4"/>
  <c r="B14" i="4"/>
  <c r="AA11" i="4"/>
  <c r="H12" i="4"/>
  <c r="E5" i="16"/>
  <c r="G12" i="4"/>
  <c r="F12" i="4"/>
  <c r="N32" i="16"/>
  <c r="AA20" i="4"/>
  <c r="H21" i="4"/>
  <c r="G21" i="4"/>
  <c r="F21" i="4"/>
  <c r="O32" i="16"/>
  <c r="C15" i="4"/>
  <c r="C16" i="4"/>
  <c r="C17" i="4"/>
  <c r="C18" i="4"/>
  <c r="C19" i="4"/>
  <c r="C20" i="4"/>
  <c r="C23" i="4"/>
  <c r="B23" i="4"/>
  <c r="AA29" i="4"/>
  <c r="H30" i="4"/>
  <c r="G30" i="4"/>
  <c r="F30" i="4"/>
  <c r="P32" i="16"/>
  <c r="C24" i="4"/>
  <c r="C25" i="4"/>
  <c r="C26" i="4"/>
  <c r="C27" i="4"/>
  <c r="C28" i="4"/>
  <c r="C29" i="4"/>
  <c r="C32" i="4"/>
  <c r="B32" i="4"/>
  <c r="AA38" i="4"/>
  <c r="H39" i="4"/>
  <c r="G39" i="4"/>
  <c r="F39" i="4"/>
  <c r="Q32" i="16"/>
  <c r="B3" i="4"/>
  <c r="C33" i="4"/>
  <c r="C34" i="4"/>
  <c r="C35" i="4"/>
  <c r="C36" i="4"/>
  <c r="C37" i="4"/>
  <c r="C38" i="4"/>
  <c r="C41" i="4"/>
  <c r="B41" i="4"/>
  <c r="C42" i="4"/>
  <c r="B42" i="4"/>
  <c r="C43" i="4"/>
  <c r="B43" i="4"/>
  <c r="C44" i="4"/>
  <c r="B44" i="4"/>
  <c r="C45" i="4"/>
  <c r="B45" i="4"/>
  <c r="C46" i="4"/>
  <c r="B46" i="4"/>
  <c r="C47" i="4"/>
  <c r="B47" i="4"/>
  <c r="AA47" i="4"/>
  <c r="H48" i="4"/>
  <c r="G48" i="4"/>
  <c r="F48" i="4"/>
  <c r="R32" i="16"/>
  <c r="C50" i="4"/>
  <c r="B50" i="4"/>
  <c r="G3" i="4"/>
  <c r="B10" i="16"/>
  <c r="F3" i="4"/>
  <c r="A3" i="4"/>
  <c r="O50" i="4"/>
  <c r="C51" i="4"/>
  <c r="B51" i="4"/>
  <c r="O51" i="4"/>
  <c r="H53" i="4"/>
  <c r="H52" i="4"/>
  <c r="G52" i="4"/>
  <c r="F52" i="4"/>
  <c r="S32" i="16"/>
  <c r="G32" i="16"/>
  <c r="F49" i="16"/>
  <c r="Z5" i="32"/>
  <c r="Z6" i="32"/>
  <c r="Y5" i="32"/>
  <c r="Y6" i="32"/>
  <c r="Y7" i="32"/>
  <c r="Y8" i="32"/>
  <c r="Y9" i="32"/>
  <c r="Y10" i="32"/>
  <c r="Y11" i="32"/>
  <c r="Y14" i="32"/>
  <c r="Y15" i="32"/>
  <c r="Y16" i="32"/>
  <c r="Y17" i="32"/>
  <c r="Y18" i="32"/>
  <c r="Y19" i="32"/>
  <c r="Y20" i="32"/>
  <c r="Y23" i="32"/>
  <c r="Y24" i="32"/>
  <c r="Y25" i="32"/>
  <c r="Y26" i="32"/>
  <c r="Y27" i="32"/>
  <c r="Y28" i="32"/>
  <c r="Y29" i="32"/>
  <c r="Y32" i="32"/>
  <c r="Y33" i="32"/>
  <c r="Y34" i="32"/>
  <c r="Y35" i="32"/>
  <c r="Y36" i="32"/>
  <c r="Y37" i="32"/>
  <c r="Y38" i="32"/>
  <c r="Y41" i="32"/>
  <c r="Y42" i="32"/>
  <c r="Y43" i="32"/>
  <c r="Y44" i="32"/>
  <c r="Y45" i="32"/>
  <c r="Y46" i="32"/>
  <c r="Y47" i="32"/>
  <c r="Y50" i="32"/>
  <c r="Y51" i="32"/>
  <c r="X5" i="32"/>
  <c r="X6" i="32"/>
  <c r="X7" i="32"/>
  <c r="X8" i="32"/>
  <c r="X9" i="32"/>
  <c r="X10" i="32"/>
  <c r="X11" i="32"/>
  <c r="X14" i="32"/>
  <c r="X15" i="32"/>
  <c r="X16" i="32"/>
  <c r="X17" i="32"/>
  <c r="X18" i="32"/>
  <c r="X19" i="32"/>
  <c r="X20" i="32"/>
  <c r="X23" i="32"/>
  <c r="X24" i="32"/>
  <c r="X25" i="32"/>
  <c r="X26" i="32"/>
  <c r="X27" i="32"/>
  <c r="X28" i="32"/>
  <c r="X29" i="32"/>
  <c r="X32" i="32"/>
  <c r="X33" i="32"/>
  <c r="Z5" i="35"/>
  <c r="Z6" i="35"/>
  <c r="Z7" i="35"/>
  <c r="Y5" i="35"/>
  <c r="Y6" i="35"/>
  <c r="Y7" i="35"/>
  <c r="Y8" i="35"/>
  <c r="Y9" i="35"/>
  <c r="Y10" i="35"/>
  <c r="Y11" i="35"/>
  <c r="X5" i="35"/>
  <c r="X6" i="35"/>
  <c r="X7" i="35"/>
  <c r="X8" i="35"/>
  <c r="X9" i="35"/>
  <c r="X10" i="35"/>
  <c r="X11" i="35"/>
  <c r="X14" i="35"/>
  <c r="X15" i="35"/>
  <c r="X16" i="35"/>
  <c r="X17" i="35"/>
  <c r="X18" i="35"/>
  <c r="X19" i="35"/>
  <c r="X20" i="35"/>
  <c r="X23" i="35"/>
  <c r="X24" i="35"/>
  <c r="X25" i="35"/>
  <c r="X26" i="35"/>
  <c r="X27" i="35"/>
  <c r="X28" i="35"/>
  <c r="X29" i="35"/>
  <c r="X32" i="35"/>
  <c r="X33" i="35"/>
  <c r="X34" i="35"/>
  <c r="X35" i="35"/>
  <c r="X36" i="35"/>
  <c r="X37" i="35"/>
  <c r="X38" i="35"/>
  <c r="X41" i="35"/>
  <c r="X42" i="35"/>
  <c r="X43" i="35"/>
  <c r="X44" i="35"/>
  <c r="X45" i="35"/>
  <c r="X46" i="35"/>
  <c r="X47" i="35"/>
  <c r="X50" i="35"/>
  <c r="X51" i="35"/>
  <c r="Y5" i="36"/>
  <c r="Y6" i="36"/>
  <c r="Y7" i="36"/>
  <c r="Y8" i="36"/>
  <c r="Y9" i="36"/>
  <c r="Y10" i="36"/>
  <c r="Y11" i="36"/>
  <c r="Y14" i="36"/>
  <c r="Y15" i="36"/>
  <c r="Y16" i="36"/>
  <c r="Y17" i="36"/>
  <c r="Y18" i="36"/>
  <c r="Y19" i="36"/>
  <c r="Y20" i="36"/>
  <c r="Y23" i="36"/>
  <c r="Y24" i="36"/>
  <c r="Y25" i="36"/>
  <c r="Y26" i="36"/>
  <c r="Y27" i="36"/>
  <c r="Y28" i="36"/>
  <c r="Y29" i="36"/>
  <c r="Y32" i="36"/>
  <c r="Y33" i="36"/>
  <c r="Y34" i="36"/>
  <c r="Y35" i="36"/>
  <c r="Y36" i="36"/>
  <c r="Y37" i="36"/>
  <c r="Y38" i="36"/>
  <c r="Y41" i="36"/>
  <c r="Y42" i="36"/>
  <c r="Y43" i="36"/>
  <c r="Y44" i="36"/>
  <c r="Y45" i="36"/>
  <c r="Y46" i="36"/>
  <c r="Y47" i="36"/>
  <c r="Y50" i="36"/>
  <c r="Y51" i="36"/>
  <c r="X5" i="36"/>
  <c r="X6" i="36"/>
  <c r="X7" i="36"/>
  <c r="X8" i="36"/>
  <c r="X9" i="36"/>
  <c r="X10" i="36"/>
  <c r="X11" i="36"/>
  <c r="X14" i="36"/>
  <c r="X15" i="36"/>
  <c r="X16" i="36"/>
  <c r="X17" i="36"/>
  <c r="X18" i="36"/>
  <c r="X19" i="36"/>
  <c r="X20" i="36"/>
  <c r="X23" i="36"/>
  <c r="X24" i="36"/>
  <c r="X25" i="36"/>
  <c r="X26" i="36"/>
  <c r="X27" i="36"/>
  <c r="X28" i="36"/>
  <c r="X29" i="36"/>
  <c r="X32" i="36"/>
  <c r="X33" i="36"/>
  <c r="X34" i="36"/>
  <c r="X35" i="36"/>
  <c r="X36" i="36"/>
  <c r="X37" i="36"/>
  <c r="X38" i="36"/>
  <c r="X41" i="36"/>
  <c r="X42" i="36"/>
  <c r="X43" i="36"/>
  <c r="X44" i="36"/>
  <c r="X45" i="36"/>
  <c r="X46" i="36"/>
  <c r="X47" i="36"/>
  <c r="X50" i="36"/>
  <c r="X51" i="36"/>
  <c r="Z5" i="37"/>
  <c r="Y5" i="37"/>
  <c r="Y6" i="37"/>
  <c r="Y7" i="37"/>
  <c r="Y8" i="37"/>
  <c r="Y9" i="37"/>
  <c r="Y10" i="37"/>
  <c r="Y11" i="37"/>
  <c r="Y14" i="37"/>
  <c r="Y15" i="37"/>
  <c r="Y16" i="37"/>
  <c r="Y17" i="37"/>
  <c r="Y18" i="37"/>
  <c r="Y19" i="37"/>
  <c r="Y20" i="37"/>
  <c r="Y23" i="37"/>
  <c r="Y24" i="37"/>
  <c r="Y25" i="37"/>
  <c r="Y26" i="37"/>
  <c r="Y27" i="37"/>
  <c r="Y28" i="37"/>
  <c r="Y29" i="37"/>
  <c r="Y32" i="37"/>
  <c r="Y33" i="37"/>
  <c r="Y34" i="37"/>
  <c r="Y35" i="37"/>
  <c r="Y36" i="37"/>
  <c r="Y37" i="37"/>
  <c r="Y38" i="37"/>
  <c r="Y41" i="37"/>
  <c r="Y42" i="37"/>
  <c r="Y43" i="37"/>
  <c r="Y44" i="37"/>
  <c r="Y45" i="37"/>
  <c r="Y46" i="37"/>
  <c r="Y47" i="37"/>
  <c r="Y50" i="37"/>
  <c r="Y51" i="37"/>
  <c r="X5" i="37"/>
  <c r="X6" i="37"/>
  <c r="X7" i="37"/>
  <c r="X8" i="37"/>
  <c r="X9" i="37"/>
  <c r="X10" i="37"/>
  <c r="X11" i="37"/>
  <c r="X14" i="37"/>
  <c r="X15" i="37"/>
  <c r="X16" i="37"/>
  <c r="X17" i="37"/>
  <c r="X18" i="37"/>
  <c r="X19" i="37"/>
  <c r="X20" i="37"/>
  <c r="X23" i="37"/>
  <c r="X24" i="37"/>
  <c r="X25" i="37"/>
  <c r="X26" i="37"/>
  <c r="X27" i="37"/>
  <c r="X28" i="37"/>
  <c r="X29" i="37"/>
  <c r="X32" i="37"/>
  <c r="X33" i="37"/>
  <c r="X34" i="37"/>
  <c r="X35" i="37"/>
  <c r="X36" i="37"/>
  <c r="X37" i="37"/>
  <c r="X38" i="37"/>
  <c r="X41" i="37"/>
  <c r="X42" i="37"/>
  <c r="X43" i="37"/>
  <c r="X44" i="37"/>
  <c r="X45" i="37"/>
  <c r="X46" i="37"/>
  <c r="X47" i="37"/>
  <c r="X50" i="37"/>
  <c r="X51" i="37"/>
  <c r="Z5" i="38"/>
  <c r="Z6" i="38"/>
  <c r="Z7" i="38"/>
  <c r="Z8" i="38"/>
  <c r="Y5" i="38"/>
  <c r="Y6" i="38"/>
  <c r="Y7" i="38"/>
  <c r="Y8" i="38"/>
  <c r="Y9" i="38"/>
  <c r="Y10" i="38"/>
  <c r="Y11" i="38"/>
  <c r="Y14" i="38"/>
  <c r="Y15" i="38"/>
  <c r="Y16" i="38"/>
  <c r="Y17" i="38"/>
  <c r="Y18" i="38"/>
  <c r="Y19" i="38"/>
  <c r="Y20" i="38"/>
  <c r="Y23" i="38"/>
  <c r="Y24" i="38"/>
  <c r="Y25" i="38"/>
  <c r="Y26" i="38"/>
  <c r="Y27" i="38"/>
  <c r="Y28" i="38"/>
  <c r="Y29" i="38"/>
  <c r="Y32" i="38"/>
  <c r="Y33" i="38"/>
  <c r="Y34" i="38"/>
  <c r="Y35" i="38"/>
  <c r="Y36" i="38"/>
  <c r="Y37" i="38"/>
  <c r="Y38" i="38"/>
  <c r="Y41" i="38"/>
  <c r="Y42" i="38"/>
  <c r="Y43" i="38"/>
  <c r="Y44" i="38"/>
  <c r="Y45" i="38"/>
  <c r="Y46" i="38"/>
  <c r="Y47" i="38"/>
  <c r="Y50" i="38"/>
  <c r="Y51" i="38"/>
  <c r="X5" i="38"/>
  <c r="X6" i="38"/>
  <c r="X7" i="38"/>
  <c r="X8" i="38"/>
  <c r="X9" i="38"/>
  <c r="X10" i="38"/>
  <c r="X11" i="38"/>
  <c r="X14" i="38"/>
  <c r="X15" i="38"/>
  <c r="X16" i="38"/>
  <c r="X17" i="38"/>
  <c r="X18" i="38"/>
  <c r="X19" i="38"/>
  <c r="X20" i="38"/>
  <c r="X23" i="38"/>
  <c r="X24" i="38"/>
  <c r="X25" i="38"/>
  <c r="X26" i="38"/>
  <c r="X27" i="38"/>
  <c r="X28" i="38"/>
  <c r="X29" i="38"/>
  <c r="X32" i="38"/>
  <c r="X33" i="38"/>
  <c r="X34" i="38"/>
  <c r="X35" i="38"/>
  <c r="X36" i="38"/>
  <c r="X37" i="38"/>
  <c r="X38" i="38"/>
  <c r="X41" i="38"/>
  <c r="X42" i="38"/>
  <c r="X43" i="38"/>
  <c r="X44" i="38"/>
  <c r="X45" i="38"/>
  <c r="X46" i="38"/>
  <c r="X47" i="38"/>
  <c r="X50" i="38"/>
  <c r="X51" i="38"/>
  <c r="Z5" i="39"/>
  <c r="Y5" i="39"/>
  <c r="Y6" i="39"/>
  <c r="Y7" i="39"/>
  <c r="Y8" i="39"/>
  <c r="Y9" i="39"/>
  <c r="Y10" i="39"/>
  <c r="Y11" i="39"/>
  <c r="Y14" i="39"/>
  <c r="Y15" i="39"/>
  <c r="Y16" i="39"/>
  <c r="Y17" i="39"/>
  <c r="Y18" i="39"/>
  <c r="Y19" i="39"/>
  <c r="Y20" i="39"/>
  <c r="Y23" i="39"/>
  <c r="Y24" i="39"/>
  <c r="Y25" i="39"/>
  <c r="Y26" i="39"/>
  <c r="Y27" i="39"/>
  <c r="Y28" i="39"/>
  <c r="Y29" i="39"/>
  <c r="Y32" i="39"/>
  <c r="Y33" i="39"/>
  <c r="Y34" i="39"/>
  <c r="Y35" i="39"/>
  <c r="Y36" i="39"/>
  <c r="Y37" i="39"/>
  <c r="Y38" i="39"/>
  <c r="Y41" i="39"/>
  <c r="Y42" i="39"/>
  <c r="Y43" i="39"/>
  <c r="Y44" i="39"/>
  <c r="Y45" i="39"/>
  <c r="Y46" i="39"/>
  <c r="Y47" i="39"/>
  <c r="Y50" i="39"/>
  <c r="Y51" i="39"/>
  <c r="X5" i="39"/>
  <c r="X6" i="39"/>
  <c r="X7" i="39"/>
  <c r="X8" i="39"/>
  <c r="X9" i="39"/>
  <c r="X10" i="39"/>
  <c r="X11" i="39"/>
  <c r="X14" i="39"/>
  <c r="X15" i="39"/>
  <c r="X16" i="39"/>
  <c r="X17" i="39"/>
  <c r="X18" i="39"/>
  <c r="X19" i="39"/>
  <c r="X20" i="39"/>
  <c r="X23" i="39"/>
  <c r="X24" i="39"/>
  <c r="X25" i="39"/>
  <c r="X26" i="39"/>
  <c r="X27" i="39"/>
  <c r="X28" i="39"/>
  <c r="X29" i="39"/>
  <c r="X32" i="39"/>
  <c r="X33" i="39"/>
  <c r="X34" i="39"/>
  <c r="X35" i="39"/>
  <c r="X36" i="39"/>
  <c r="X37" i="39"/>
  <c r="X38" i="39"/>
  <c r="X41" i="39"/>
  <c r="X42" i="39"/>
  <c r="X43" i="39"/>
  <c r="X44" i="39"/>
  <c r="X45" i="39"/>
  <c r="X46" i="39"/>
  <c r="X47" i="39"/>
  <c r="X50" i="39"/>
  <c r="X51" i="39"/>
  <c r="Z5" i="40"/>
  <c r="Z6" i="40"/>
  <c r="Y5" i="40"/>
  <c r="Y6" i="40"/>
  <c r="Y7" i="40"/>
  <c r="Y8" i="40"/>
  <c r="Y9" i="40"/>
  <c r="Y10" i="40"/>
  <c r="Y11" i="40"/>
  <c r="Y14" i="40"/>
  <c r="Y15" i="40"/>
  <c r="Y16" i="40"/>
  <c r="Y17" i="40"/>
  <c r="Y18" i="40"/>
  <c r="Y19" i="40"/>
  <c r="Y20" i="40"/>
  <c r="Y23" i="40"/>
  <c r="Y24" i="40"/>
  <c r="Y25" i="40"/>
  <c r="Y26" i="40"/>
  <c r="Y27" i="40"/>
  <c r="Y28" i="40"/>
  <c r="Y29" i="40"/>
  <c r="Y32" i="40"/>
  <c r="Y33" i="40"/>
  <c r="Y34" i="40"/>
  <c r="Y35" i="40"/>
  <c r="Y36" i="40"/>
  <c r="Y37" i="40"/>
  <c r="Y38" i="40"/>
  <c r="Y41" i="40"/>
  <c r="Y42" i="40"/>
  <c r="Y43" i="40"/>
  <c r="Y44" i="40"/>
  <c r="Y45" i="40"/>
  <c r="Y46" i="40"/>
  <c r="Y47" i="40"/>
  <c r="Y50" i="40"/>
  <c r="Y51" i="40"/>
  <c r="X5" i="40"/>
  <c r="X6" i="40"/>
  <c r="X7" i="40"/>
  <c r="X8" i="40"/>
  <c r="X9" i="40"/>
  <c r="X10" i="40"/>
  <c r="X11" i="40"/>
  <c r="X14" i="40"/>
  <c r="X15" i="40"/>
  <c r="X16" i="40"/>
  <c r="X17" i="40"/>
  <c r="X18" i="40"/>
  <c r="X19" i="40"/>
  <c r="X20" i="40"/>
  <c r="X23" i="40"/>
  <c r="X24" i="40"/>
  <c r="X25" i="40"/>
  <c r="X26" i="40"/>
  <c r="X27" i="40"/>
  <c r="X28" i="40"/>
  <c r="X29" i="40"/>
  <c r="X32" i="40"/>
  <c r="X33" i="40"/>
  <c r="X34" i="40"/>
  <c r="X35" i="40"/>
  <c r="X36" i="40"/>
  <c r="X37" i="40"/>
  <c r="X38" i="40"/>
  <c r="X41" i="40"/>
  <c r="X42" i="40"/>
  <c r="X43" i="40"/>
  <c r="X44" i="40"/>
  <c r="X45" i="40"/>
  <c r="X46" i="40"/>
  <c r="X47" i="40"/>
  <c r="X50" i="40"/>
  <c r="X51" i="40"/>
  <c r="Z5" i="41"/>
  <c r="Z6" i="41"/>
  <c r="Z7" i="41"/>
  <c r="Z8" i="41"/>
  <c r="Y5" i="41"/>
  <c r="Y6" i="41"/>
  <c r="Y7" i="41"/>
  <c r="Y8" i="41"/>
  <c r="Y9" i="41"/>
  <c r="Y10" i="41"/>
  <c r="Y11" i="41"/>
  <c r="Y14" i="41"/>
  <c r="Y15" i="41"/>
  <c r="Y16" i="41"/>
  <c r="Y17" i="41"/>
  <c r="Y18" i="41"/>
  <c r="Y19" i="41"/>
  <c r="Y20" i="41"/>
  <c r="Y23" i="41"/>
  <c r="Y24" i="41"/>
  <c r="Y25" i="41"/>
  <c r="Y26" i="41"/>
  <c r="Y27" i="41"/>
  <c r="Y28" i="41"/>
  <c r="Y29" i="41"/>
  <c r="Y32" i="41"/>
  <c r="Y33" i="41"/>
  <c r="Y34" i="41"/>
  <c r="Y35" i="41"/>
  <c r="Y36" i="41"/>
  <c r="Y37" i="41"/>
  <c r="Y38" i="41"/>
  <c r="Y41" i="41"/>
  <c r="Y42" i="41"/>
  <c r="Y43" i="41"/>
  <c r="Y44" i="41"/>
  <c r="Y45" i="41"/>
  <c r="Y46" i="41"/>
  <c r="Y47" i="41"/>
  <c r="Y50" i="41"/>
  <c r="Y51" i="41"/>
  <c r="X5" i="41"/>
  <c r="X6" i="41"/>
  <c r="X7" i="41"/>
  <c r="X8" i="41"/>
  <c r="X9" i="41"/>
  <c r="X10" i="41"/>
  <c r="X11" i="41"/>
  <c r="X14" i="41"/>
  <c r="X15" i="41"/>
  <c r="X16" i="41"/>
  <c r="X17" i="41"/>
  <c r="X18" i="41"/>
  <c r="X19" i="41"/>
  <c r="X20" i="41"/>
  <c r="X23" i="41"/>
  <c r="X24" i="41"/>
  <c r="X25" i="41"/>
  <c r="X26" i="41"/>
  <c r="X27" i="41"/>
  <c r="X28" i="41"/>
  <c r="X29" i="41"/>
  <c r="X32" i="41"/>
  <c r="X33" i="41"/>
  <c r="X34" i="41"/>
  <c r="X35" i="41"/>
  <c r="X36" i="41"/>
  <c r="X37" i="41"/>
  <c r="X38" i="41"/>
  <c r="X41" i="41"/>
  <c r="X42" i="41"/>
  <c r="X43" i="41"/>
  <c r="X44" i="41"/>
  <c r="X45" i="41"/>
  <c r="X46" i="41"/>
  <c r="X47" i="41"/>
  <c r="X50" i="41"/>
  <c r="X51" i="41"/>
  <c r="R2" i="41"/>
  <c r="R25" i="41"/>
  <c r="M25" i="41"/>
  <c r="R2" i="40"/>
  <c r="R25" i="40"/>
  <c r="M25" i="40"/>
  <c r="R2" i="39"/>
  <c r="R25" i="39"/>
  <c r="M25" i="39"/>
  <c r="R2" i="38"/>
  <c r="R25" i="38"/>
  <c r="M25" i="38"/>
  <c r="R2" i="37"/>
  <c r="R25" i="37"/>
  <c r="M25" i="37"/>
  <c r="R2" i="36"/>
  <c r="R25" i="36"/>
  <c r="M25" i="36"/>
  <c r="R2" i="35"/>
  <c r="R25" i="35"/>
  <c r="M25" i="35"/>
  <c r="R2" i="34"/>
  <c r="R25" i="34"/>
  <c r="M25" i="34"/>
  <c r="R2" i="33"/>
  <c r="R25" i="33"/>
  <c r="M25" i="33"/>
  <c r="R2" i="32"/>
  <c r="R25" i="32"/>
  <c r="M25" i="32"/>
  <c r="R2" i="31"/>
  <c r="R25" i="31"/>
  <c r="M25" i="31"/>
  <c r="R2" i="4"/>
  <c r="R25" i="4"/>
  <c r="M25" i="4"/>
  <c r="B2" i="31"/>
  <c r="C33" i="16"/>
  <c r="C3" i="31"/>
  <c r="C11" i="31"/>
  <c r="C14" i="31"/>
  <c r="B14" i="31"/>
  <c r="AA11" i="31"/>
  <c r="H12" i="31"/>
  <c r="G12" i="31"/>
  <c r="F12" i="31"/>
  <c r="N33" i="16"/>
  <c r="AA20" i="31"/>
  <c r="H21" i="31"/>
  <c r="G21" i="31"/>
  <c r="F21" i="31"/>
  <c r="O33" i="16"/>
  <c r="C15" i="31"/>
  <c r="C16" i="31"/>
  <c r="C17" i="31"/>
  <c r="C18" i="31"/>
  <c r="C19" i="31"/>
  <c r="C20" i="31"/>
  <c r="C23" i="31"/>
  <c r="B23" i="31"/>
  <c r="AA29" i="31"/>
  <c r="H30" i="31"/>
  <c r="G30" i="31"/>
  <c r="F30" i="31"/>
  <c r="P33" i="16"/>
  <c r="C24" i="31"/>
  <c r="C25" i="31"/>
  <c r="C26" i="31"/>
  <c r="C27" i="31"/>
  <c r="C28" i="31"/>
  <c r="C29" i="31"/>
  <c r="C32" i="31"/>
  <c r="B32" i="31"/>
  <c r="AA38" i="31"/>
  <c r="H39" i="31"/>
  <c r="G39" i="31"/>
  <c r="F39" i="31"/>
  <c r="Q33" i="16"/>
  <c r="B3" i="31"/>
  <c r="C33" i="31"/>
  <c r="C34" i="31"/>
  <c r="C35" i="31"/>
  <c r="C36" i="31"/>
  <c r="C37" i="31"/>
  <c r="C38" i="31"/>
  <c r="C41" i="31"/>
  <c r="B41" i="31"/>
  <c r="C42" i="31"/>
  <c r="B42" i="31"/>
  <c r="C43" i="31"/>
  <c r="B43" i="31"/>
  <c r="C44" i="31"/>
  <c r="B44" i="31"/>
  <c r="C45" i="31"/>
  <c r="B45" i="31"/>
  <c r="C46" i="31"/>
  <c r="B46" i="31"/>
  <c r="C47" i="31"/>
  <c r="B47" i="31"/>
  <c r="AA47" i="31"/>
  <c r="H48" i="31"/>
  <c r="G48" i="31"/>
  <c r="F48" i="31"/>
  <c r="R33" i="16"/>
  <c r="C50" i="31"/>
  <c r="B50" i="31"/>
  <c r="O50" i="31"/>
  <c r="C51" i="31"/>
  <c r="B51" i="31"/>
  <c r="O51" i="31"/>
  <c r="H53" i="31"/>
  <c r="S33" i="16"/>
  <c r="G33" i="16"/>
  <c r="B12" i="16"/>
  <c r="C10" i="31"/>
  <c r="C6" i="31"/>
  <c r="C7" i="31"/>
  <c r="C4" i="31"/>
  <c r="J32" i="16"/>
  <c r="G3" i="31"/>
  <c r="F3" i="31"/>
  <c r="A3" i="31"/>
  <c r="O32" i="31"/>
  <c r="B33" i="31"/>
  <c r="O33" i="31"/>
  <c r="B34" i="31"/>
  <c r="O34" i="31"/>
  <c r="B35" i="31"/>
  <c r="O35" i="31"/>
  <c r="B36" i="31"/>
  <c r="O36" i="31"/>
  <c r="B37" i="31"/>
  <c r="O37" i="31"/>
  <c r="B38" i="31"/>
  <c r="O38" i="31"/>
  <c r="H40" i="31"/>
  <c r="O23" i="31"/>
  <c r="B24" i="31"/>
  <c r="O24" i="31"/>
  <c r="B25" i="31"/>
  <c r="O25" i="31"/>
  <c r="B26" i="31"/>
  <c r="O26" i="31"/>
  <c r="B27" i="31"/>
  <c r="O27" i="31"/>
  <c r="B28" i="31"/>
  <c r="O28" i="31"/>
  <c r="B29" i="31"/>
  <c r="O29" i="31"/>
  <c r="H31" i="31"/>
  <c r="O14" i="31"/>
  <c r="B15" i="31"/>
  <c r="O15" i="31"/>
  <c r="B16" i="31"/>
  <c r="O16" i="31"/>
  <c r="B17" i="31"/>
  <c r="O17" i="31"/>
  <c r="B18" i="31"/>
  <c r="O18" i="31"/>
  <c r="B19" i="31"/>
  <c r="O19" i="31"/>
  <c r="B20" i="31"/>
  <c r="O20" i="31"/>
  <c r="H22" i="31"/>
  <c r="O41" i="31"/>
  <c r="O42" i="31"/>
  <c r="O43" i="31"/>
  <c r="O44" i="31"/>
  <c r="O45" i="31"/>
  <c r="O46" i="31"/>
  <c r="O47" i="31"/>
  <c r="H49" i="31"/>
  <c r="C5" i="31"/>
  <c r="B5" i="31"/>
  <c r="O5" i="31"/>
  <c r="B6" i="31"/>
  <c r="O6" i="31"/>
  <c r="B7" i="31"/>
  <c r="O7" i="31"/>
  <c r="C8" i="31"/>
  <c r="B8" i="31"/>
  <c r="O8" i="31"/>
  <c r="C9" i="31"/>
  <c r="B9" i="31"/>
  <c r="O9" i="31"/>
  <c r="B10" i="31"/>
  <c r="O10" i="31"/>
  <c r="B11" i="31"/>
  <c r="O11" i="31"/>
  <c r="H13" i="31"/>
  <c r="H56" i="31"/>
  <c r="P4" i="31"/>
  <c r="Q4" i="31"/>
  <c r="D5" i="31"/>
  <c r="E5" i="31"/>
  <c r="P5" i="31"/>
  <c r="Q5" i="31"/>
  <c r="V5" i="31"/>
  <c r="R5" i="31"/>
  <c r="W5" i="31"/>
  <c r="D6" i="31"/>
  <c r="E6" i="31"/>
  <c r="R6" i="31"/>
  <c r="K6" i="31"/>
  <c r="M6" i="31"/>
  <c r="P6" i="31"/>
  <c r="Q6" i="31"/>
  <c r="S6" i="31"/>
  <c r="V6" i="31"/>
  <c r="W6" i="31"/>
  <c r="AA6" i="31"/>
  <c r="D7" i="31"/>
  <c r="E7" i="31"/>
  <c r="P7" i="31"/>
  <c r="Q7" i="31"/>
  <c r="R7" i="31"/>
  <c r="V7" i="31"/>
  <c r="W7" i="31"/>
  <c r="AA7" i="31"/>
  <c r="D8" i="31"/>
  <c r="E8" i="31"/>
  <c r="P8" i="31"/>
  <c r="Q8" i="31"/>
  <c r="R8" i="31"/>
  <c r="V8" i="31"/>
  <c r="W8" i="31"/>
  <c r="AA8" i="31"/>
  <c r="D9" i="31"/>
  <c r="E9" i="31"/>
  <c r="P9" i="31"/>
  <c r="Q9" i="31"/>
  <c r="V9" i="31"/>
  <c r="R9" i="31"/>
  <c r="W9" i="31"/>
  <c r="AA9" i="31"/>
  <c r="D10" i="31"/>
  <c r="E10" i="31"/>
  <c r="P10" i="31"/>
  <c r="Q10" i="31"/>
  <c r="R10" i="31"/>
  <c r="V10" i="31"/>
  <c r="W10" i="31"/>
  <c r="AA10" i="31"/>
  <c r="D11" i="31"/>
  <c r="E11" i="31"/>
  <c r="P11" i="31"/>
  <c r="Q11" i="31"/>
  <c r="R11" i="31"/>
  <c r="V11" i="31"/>
  <c r="W11" i="31"/>
  <c r="D12" i="31"/>
  <c r="O12" i="31"/>
  <c r="D13" i="31"/>
  <c r="G13" i="31"/>
  <c r="F13" i="31"/>
  <c r="O13" i="31"/>
  <c r="D14" i="31"/>
  <c r="P14" i="31"/>
  <c r="Q14" i="31"/>
  <c r="R14" i="31"/>
  <c r="V14" i="31"/>
  <c r="W14" i="31"/>
  <c r="AA14" i="31"/>
  <c r="D15" i="31"/>
  <c r="P15" i="31"/>
  <c r="Q15" i="31"/>
  <c r="R15" i="31"/>
  <c r="V15" i="31"/>
  <c r="W15" i="31"/>
  <c r="AA15" i="31"/>
  <c r="D16" i="31"/>
  <c r="P16" i="31"/>
  <c r="Q16" i="31"/>
  <c r="R16" i="31"/>
  <c r="V16" i="31"/>
  <c r="W16" i="31"/>
  <c r="AA16" i="31"/>
  <c r="D17" i="31"/>
  <c r="P17" i="31"/>
  <c r="Q17" i="31"/>
  <c r="R17" i="31"/>
  <c r="V17" i="31"/>
  <c r="W17" i="31"/>
  <c r="AA17" i="31"/>
  <c r="D18" i="31"/>
  <c r="P18" i="31"/>
  <c r="Q18" i="31"/>
  <c r="R18" i="31"/>
  <c r="V18" i="31"/>
  <c r="W18" i="31"/>
  <c r="AA18" i="31"/>
  <c r="D19" i="31"/>
  <c r="P19" i="31"/>
  <c r="Q19" i="31"/>
  <c r="R19" i="31"/>
  <c r="V19" i="31"/>
  <c r="W19" i="31"/>
  <c r="AA19" i="31"/>
  <c r="D20" i="31"/>
  <c r="P20" i="31"/>
  <c r="Q20" i="31"/>
  <c r="R20" i="31"/>
  <c r="V20" i="31"/>
  <c r="W20" i="31"/>
  <c r="D21" i="31"/>
  <c r="O21" i="31"/>
  <c r="D22" i="31"/>
  <c r="G22" i="31"/>
  <c r="F22" i="31"/>
  <c r="O22" i="31"/>
  <c r="D23" i="31"/>
  <c r="P23" i="31"/>
  <c r="Q23" i="31"/>
  <c r="R23" i="31"/>
  <c r="V23" i="31"/>
  <c r="W23" i="31"/>
  <c r="AA23" i="31"/>
  <c r="D24" i="31"/>
  <c r="P24" i="31"/>
  <c r="Q24" i="31"/>
  <c r="V24" i="31"/>
  <c r="R24" i="31"/>
  <c r="W24" i="31"/>
  <c r="AA24" i="31"/>
  <c r="D25" i="31"/>
  <c r="P25" i="31"/>
  <c r="Q25" i="31"/>
  <c r="V25" i="31"/>
  <c r="W25" i="31"/>
  <c r="AA25" i="31"/>
  <c r="D26" i="31"/>
  <c r="P26" i="31"/>
  <c r="Q26" i="31"/>
  <c r="R26" i="31"/>
  <c r="V26" i="31"/>
  <c r="W26" i="31"/>
  <c r="AA26" i="31"/>
  <c r="D27" i="31"/>
  <c r="P27" i="31"/>
  <c r="Q27" i="31"/>
  <c r="R27" i="31"/>
  <c r="V27" i="31"/>
  <c r="W27" i="31"/>
  <c r="AA27" i="31"/>
  <c r="D28" i="31"/>
  <c r="P28" i="31"/>
  <c r="Q28" i="31"/>
  <c r="V28" i="31"/>
  <c r="R28" i="31"/>
  <c r="W28" i="31"/>
  <c r="AA28" i="31"/>
  <c r="D29" i="31"/>
  <c r="P29" i="31"/>
  <c r="Q29" i="31"/>
  <c r="R29" i="31"/>
  <c r="V29" i="31"/>
  <c r="W29" i="31"/>
  <c r="D30" i="31"/>
  <c r="O30" i="31"/>
  <c r="D31" i="31"/>
  <c r="G31" i="31"/>
  <c r="F31" i="31"/>
  <c r="O31" i="31"/>
  <c r="D32" i="31"/>
  <c r="P32" i="31"/>
  <c r="Q32" i="31"/>
  <c r="R32" i="31"/>
  <c r="V32" i="31"/>
  <c r="W32" i="31"/>
  <c r="AA32" i="31"/>
  <c r="D33" i="31"/>
  <c r="P33" i="31"/>
  <c r="Q33" i="31"/>
  <c r="R33" i="31"/>
  <c r="V33" i="31"/>
  <c r="W33" i="31"/>
  <c r="AA33" i="31"/>
  <c r="D34" i="31"/>
  <c r="P34" i="31"/>
  <c r="Q34" i="31"/>
  <c r="V34" i="31"/>
  <c r="R34" i="31"/>
  <c r="W34" i="31"/>
  <c r="AA34" i="31"/>
  <c r="D35" i="31"/>
  <c r="P35" i="31"/>
  <c r="Q35" i="31"/>
  <c r="R35" i="31"/>
  <c r="V35" i="31"/>
  <c r="W35" i="31"/>
  <c r="AA35" i="31"/>
  <c r="D36" i="31"/>
  <c r="P36" i="31"/>
  <c r="Q36" i="31"/>
  <c r="V36" i="31"/>
  <c r="R36" i="31"/>
  <c r="W36" i="31"/>
  <c r="AA36" i="31"/>
  <c r="D37" i="31"/>
  <c r="P37" i="31"/>
  <c r="Q37" i="31"/>
  <c r="R37" i="31"/>
  <c r="V37" i="31"/>
  <c r="W37" i="31"/>
  <c r="AA37" i="31"/>
  <c r="D38" i="31"/>
  <c r="P38" i="31"/>
  <c r="Q38" i="31"/>
  <c r="R38" i="31"/>
  <c r="V38" i="31"/>
  <c r="W38" i="31"/>
  <c r="D39" i="31"/>
  <c r="O39" i="31"/>
  <c r="D40" i="31"/>
  <c r="G40" i="31"/>
  <c r="F40" i="31"/>
  <c r="S40" i="31"/>
  <c r="V41" i="31"/>
  <c r="R42" i="31"/>
  <c r="V42" i="31"/>
  <c r="V43" i="31"/>
  <c r="R44" i="31"/>
  <c r="V44" i="31"/>
  <c r="V45" i="31"/>
  <c r="V46" i="31"/>
  <c r="V47" i="31"/>
  <c r="V50" i="31"/>
  <c r="V51" i="31"/>
  <c r="S8" i="31"/>
  <c r="S14" i="31"/>
  <c r="S15" i="31"/>
  <c r="S17" i="31"/>
  <c r="S19" i="31"/>
  <c r="S5" i="31"/>
  <c r="S7" i="31"/>
  <c r="S9" i="31"/>
  <c r="S10" i="31"/>
  <c r="S11" i="31"/>
  <c r="S16" i="31"/>
  <c r="S18" i="31"/>
  <c r="S20" i="31"/>
  <c r="S23" i="31"/>
  <c r="S24" i="31"/>
  <c r="S25" i="31"/>
  <c r="S26" i="31"/>
  <c r="S27" i="31"/>
  <c r="S28" i="31"/>
  <c r="S29" i="31"/>
  <c r="S32" i="31"/>
  <c r="S33" i="31"/>
  <c r="S34" i="31"/>
  <c r="S35" i="31"/>
  <c r="S36" i="31"/>
  <c r="S37" i="31"/>
  <c r="S38" i="31"/>
  <c r="R41" i="31"/>
  <c r="S41" i="31"/>
  <c r="S42" i="31"/>
  <c r="R43" i="31"/>
  <c r="S43" i="31"/>
  <c r="S44" i="31"/>
  <c r="R45" i="31"/>
  <c r="S45" i="31"/>
  <c r="R46" i="31"/>
  <c r="S46" i="31"/>
  <c r="R47" i="31"/>
  <c r="S47" i="31"/>
  <c r="R50" i="31"/>
  <c r="S50" i="31"/>
  <c r="R51" i="31"/>
  <c r="S51" i="31"/>
  <c r="S12" i="31"/>
  <c r="S13" i="31"/>
  <c r="S21" i="31"/>
  <c r="S22" i="31"/>
  <c r="S30" i="31"/>
  <c r="S31" i="31"/>
  <c r="S39" i="31"/>
  <c r="S48" i="31"/>
  <c r="S49" i="31"/>
  <c r="L40" i="31"/>
  <c r="O40" i="31"/>
  <c r="D41" i="31"/>
  <c r="E41" i="31"/>
  <c r="P41" i="31"/>
  <c r="Q41" i="31"/>
  <c r="W41" i="31"/>
  <c r="AA41" i="31"/>
  <c r="D42" i="31"/>
  <c r="E42" i="31"/>
  <c r="P42" i="31"/>
  <c r="Q42" i="31"/>
  <c r="W42" i="31"/>
  <c r="AA42" i="31"/>
  <c r="D43" i="31"/>
  <c r="E43" i="31"/>
  <c r="P43" i="31"/>
  <c r="Q43" i="31"/>
  <c r="W43" i="31"/>
  <c r="AA43" i="31"/>
  <c r="D44" i="31"/>
  <c r="E44" i="31"/>
  <c r="P44" i="31"/>
  <c r="Q44" i="31"/>
  <c r="W44" i="31"/>
  <c r="AA44" i="31"/>
  <c r="D45" i="31"/>
  <c r="E45" i="31"/>
  <c r="P45" i="31"/>
  <c r="Q45" i="31"/>
  <c r="W45" i="31"/>
  <c r="AA45" i="31"/>
  <c r="D46" i="31"/>
  <c r="E46" i="31"/>
  <c r="P46" i="31"/>
  <c r="Q46" i="31"/>
  <c r="W46" i="31"/>
  <c r="AA46" i="31"/>
  <c r="D47" i="31"/>
  <c r="E47" i="31"/>
  <c r="P47" i="31"/>
  <c r="Q47" i="31"/>
  <c r="W47" i="31"/>
  <c r="D48" i="31"/>
  <c r="O48" i="31"/>
  <c r="Y48" i="31"/>
  <c r="Z48" i="31"/>
  <c r="D49" i="31"/>
  <c r="G49" i="31"/>
  <c r="F49" i="31"/>
  <c r="O49" i="31"/>
  <c r="Y49" i="31"/>
  <c r="Z49" i="31"/>
  <c r="D50" i="31"/>
  <c r="E50" i="31"/>
  <c r="P50" i="31"/>
  <c r="Q50" i="31"/>
  <c r="W50" i="31"/>
  <c r="AA50" i="31"/>
  <c r="D51" i="31"/>
  <c r="E51" i="31"/>
  <c r="P51" i="31"/>
  <c r="Q51" i="31"/>
  <c r="W51" i="31"/>
  <c r="H52" i="31"/>
  <c r="G52" i="31"/>
  <c r="F52" i="31"/>
  <c r="G53" i="31"/>
  <c r="F53" i="31"/>
  <c r="K8" i="31"/>
  <c r="K14" i="31"/>
  <c r="K15" i="31"/>
  <c r="K17" i="31"/>
  <c r="K19" i="31"/>
  <c r="K5" i="31"/>
  <c r="K7" i="31"/>
  <c r="K9" i="31"/>
  <c r="K10" i="31"/>
  <c r="K11" i="31"/>
  <c r="K16" i="31"/>
  <c r="K18" i="31"/>
  <c r="K20" i="31"/>
  <c r="K23" i="31"/>
  <c r="K24" i="31"/>
  <c r="K25" i="31"/>
  <c r="K26" i="31"/>
  <c r="K27" i="31"/>
  <c r="K28" i="31"/>
  <c r="K29" i="31"/>
  <c r="K32" i="31"/>
  <c r="K33" i="31"/>
  <c r="K34" i="31"/>
  <c r="K35" i="31"/>
  <c r="K36" i="31"/>
  <c r="K37" i="31"/>
  <c r="K38" i="31"/>
  <c r="K41" i="31"/>
  <c r="K42" i="31"/>
  <c r="K43" i="31"/>
  <c r="K44" i="31"/>
  <c r="K45" i="31"/>
  <c r="K46" i="31"/>
  <c r="K47" i="31"/>
  <c r="K50" i="31"/>
  <c r="K51" i="31"/>
  <c r="M5" i="31"/>
  <c r="M7" i="31"/>
  <c r="M8" i="31"/>
  <c r="M9" i="31"/>
  <c r="M10" i="31"/>
  <c r="M11" i="31"/>
  <c r="M14" i="31"/>
  <c r="M15" i="31"/>
  <c r="M16" i="31"/>
  <c r="M17" i="31"/>
  <c r="M18" i="31"/>
  <c r="M19" i="31"/>
  <c r="M20" i="31"/>
  <c r="M23" i="31"/>
  <c r="M24" i="31"/>
  <c r="M26" i="31"/>
  <c r="M27" i="31"/>
  <c r="M28" i="31"/>
  <c r="M29" i="31"/>
  <c r="M32" i="31"/>
  <c r="M33" i="31"/>
  <c r="M34" i="31"/>
  <c r="M35" i="31"/>
  <c r="M36" i="31"/>
  <c r="M37" i="31"/>
  <c r="M38" i="31"/>
  <c r="M41" i="31"/>
  <c r="M42" i="31"/>
  <c r="M43" i="31"/>
  <c r="M44" i="31"/>
  <c r="M45" i="31"/>
  <c r="M46" i="31"/>
  <c r="M47" i="31"/>
  <c r="M50" i="31"/>
  <c r="M51" i="31"/>
  <c r="AF29" i="16"/>
  <c r="AG29" i="16"/>
  <c r="AH29" i="16"/>
  <c r="AI29" i="16"/>
  <c r="AJ29" i="16"/>
  <c r="AF28" i="16"/>
  <c r="AG28" i="16"/>
  <c r="AH28" i="16"/>
  <c r="AI28" i="16"/>
  <c r="AJ28" i="16"/>
  <c r="AF31" i="16"/>
  <c r="AF47" i="16"/>
  <c r="J53" i="31"/>
  <c r="K53" i="31"/>
  <c r="L53" i="31"/>
  <c r="M53" i="31"/>
  <c r="J21" i="31"/>
  <c r="N53" i="31"/>
  <c r="P53" i="31"/>
  <c r="Q53" i="31"/>
  <c r="R53" i="31"/>
  <c r="S53" i="31"/>
  <c r="T53" i="31"/>
  <c r="U53" i="31"/>
  <c r="V53" i="31"/>
  <c r="AG31" i="16"/>
  <c r="AG47" i="16"/>
  <c r="J54" i="31"/>
  <c r="K54" i="31"/>
  <c r="L54" i="31"/>
  <c r="M54" i="31"/>
  <c r="N54" i="31"/>
  <c r="P54" i="31"/>
  <c r="Q54" i="31"/>
  <c r="R54" i="31"/>
  <c r="S54" i="31"/>
  <c r="T54" i="31"/>
  <c r="U54" i="31"/>
  <c r="V54" i="31"/>
  <c r="G55" i="31"/>
  <c r="F55" i="31"/>
  <c r="AH31" i="16"/>
  <c r="AH47" i="16"/>
  <c r="J55" i="31"/>
  <c r="K55" i="31"/>
  <c r="L55" i="31"/>
  <c r="M55" i="31"/>
  <c r="N55" i="31"/>
  <c r="P55" i="31"/>
  <c r="Q55" i="31"/>
  <c r="R55" i="31"/>
  <c r="S55" i="31"/>
  <c r="T55" i="31"/>
  <c r="U55" i="31"/>
  <c r="V55" i="31"/>
  <c r="G56" i="31"/>
  <c r="F56" i="31"/>
  <c r="AI31" i="16"/>
  <c r="AI47" i="16"/>
  <c r="J56" i="31"/>
  <c r="K56" i="31"/>
  <c r="L56" i="31"/>
  <c r="M56" i="31"/>
  <c r="N56" i="31"/>
  <c r="U33" i="16"/>
  <c r="AA10" i="4"/>
  <c r="C10" i="4"/>
  <c r="AA14" i="4"/>
  <c r="AA18" i="4"/>
  <c r="AA25" i="4"/>
  <c r="AA27" i="4"/>
  <c r="AA28" i="4"/>
  <c r="AA32" i="4"/>
  <c r="AA33" i="4"/>
  <c r="AA35" i="4"/>
  <c r="AA34" i="4"/>
  <c r="AA37" i="4"/>
  <c r="AA36" i="4"/>
  <c r="AA41" i="4"/>
  <c r="AA43" i="4"/>
  <c r="AA42" i="4"/>
  <c r="AA44" i="4"/>
  <c r="AA45" i="4"/>
  <c r="AA50" i="4"/>
  <c r="AA15" i="4"/>
  <c r="AA17" i="4"/>
  <c r="AA16" i="4"/>
  <c r="AA19" i="4"/>
  <c r="AA26" i="4"/>
  <c r="AA46" i="4"/>
  <c r="AA5" i="4"/>
  <c r="U32" i="16"/>
  <c r="B2" i="32"/>
  <c r="C34" i="16"/>
  <c r="C3" i="32"/>
  <c r="C11" i="32"/>
  <c r="C14" i="32"/>
  <c r="B14" i="32"/>
  <c r="AA11" i="32"/>
  <c r="H12" i="32"/>
  <c r="G12" i="32"/>
  <c r="F12" i="32"/>
  <c r="N34" i="16"/>
  <c r="AA20" i="32"/>
  <c r="H21" i="32"/>
  <c r="G21" i="32"/>
  <c r="F21" i="32"/>
  <c r="O34" i="16"/>
  <c r="C15" i="32"/>
  <c r="C16" i="32"/>
  <c r="C17" i="32"/>
  <c r="C18" i="32"/>
  <c r="C19" i="32"/>
  <c r="C20" i="32"/>
  <c r="C23" i="32"/>
  <c r="B23" i="32"/>
  <c r="AA29" i="32"/>
  <c r="H30" i="32"/>
  <c r="G30" i="32"/>
  <c r="F30" i="32"/>
  <c r="P34" i="16"/>
  <c r="C24" i="32"/>
  <c r="C25" i="32"/>
  <c r="C26" i="32"/>
  <c r="C27" i="32"/>
  <c r="C28" i="32"/>
  <c r="C29" i="32"/>
  <c r="C32" i="32"/>
  <c r="B32" i="32"/>
  <c r="AA38" i="32"/>
  <c r="H39" i="32"/>
  <c r="G39" i="32"/>
  <c r="F39" i="32"/>
  <c r="Q34" i="16"/>
  <c r="B3" i="32"/>
  <c r="C33" i="32"/>
  <c r="C34" i="32"/>
  <c r="C35" i="32"/>
  <c r="C36" i="32"/>
  <c r="C37" i="32"/>
  <c r="C38" i="32"/>
  <c r="C41" i="32"/>
  <c r="B41" i="32"/>
  <c r="C42" i="32"/>
  <c r="B42" i="32"/>
  <c r="C43" i="32"/>
  <c r="B43" i="32"/>
  <c r="C44" i="32"/>
  <c r="B44" i="32"/>
  <c r="C45" i="32"/>
  <c r="B45" i="32"/>
  <c r="C46" i="32"/>
  <c r="B46" i="32"/>
  <c r="C47" i="32"/>
  <c r="B47" i="32"/>
  <c r="AA47" i="32"/>
  <c r="H48" i="32"/>
  <c r="G48" i="32"/>
  <c r="F48" i="32"/>
  <c r="R34" i="16"/>
  <c r="C50" i="32"/>
  <c r="B50" i="32"/>
  <c r="O50" i="32"/>
  <c r="C51" i="32"/>
  <c r="B51" i="32"/>
  <c r="O51" i="32"/>
  <c r="H53" i="32"/>
  <c r="S34" i="16"/>
  <c r="G34" i="16"/>
  <c r="C10" i="32"/>
  <c r="C6" i="32"/>
  <c r="C8" i="32"/>
  <c r="C7" i="32"/>
  <c r="C4" i="32"/>
  <c r="J33" i="16"/>
  <c r="G3" i="32"/>
  <c r="F3" i="32"/>
  <c r="A3" i="32"/>
  <c r="O32" i="32"/>
  <c r="B33" i="32"/>
  <c r="O33" i="32"/>
  <c r="B34" i="32"/>
  <c r="O34" i="32"/>
  <c r="B35" i="32"/>
  <c r="O35" i="32"/>
  <c r="B36" i="32"/>
  <c r="O36" i="32"/>
  <c r="B37" i="32"/>
  <c r="O37" i="32"/>
  <c r="B38" i="32"/>
  <c r="O38" i="32"/>
  <c r="H40" i="32"/>
  <c r="O23" i="32"/>
  <c r="B24" i="32"/>
  <c r="O24" i="32"/>
  <c r="B25" i="32"/>
  <c r="O25" i="32"/>
  <c r="B26" i="32"/>
  <c r="O26" i="32"/>
  <c r="B27" i="32"/>
  <c r="O27" i="32"/>
  <c r="B28" i="32"/>
  <c r="O28" i="32"/>
  <c r="B29" i="32"/>
  <c r="O29" i="32"/>
  <c r="H31" i="32"/>
  <c r="O14" i="32"/>
  <c r="B15" i="32"/>
  <c r="O15" i="32"/>
  <c r="B16" i="32"/>
  <c r="O16" i="32"/>
  <c r="B17" i="32"/>
  <c r="O17" i="32"/>
  <c r="B18" i="32"/>
  <c r="O18" i="32"/>
  <c r="B19" i="32"/>
  <c r="O19" i="32"/>
  <c r="B20" i="32"/>
  <c r="O20" i="32"/>
  <c r="H22" i="32"/>
  <c r="O41" i="32"/>
  <c r="O42" i="32"/>
  <c r="O43" i="32"/>
  <c r="O44" i="32"/>
  <c r="O45" i="32"/>
  <c r="O46" i="32"/>
  <c r="O47" i="32"/>
  <c r="H49" i="32"/>
  <c r="C5" i="32"/>
  <c r="B5" i="32"/>
  <c r="O5" i="32"/>
  <c r="B6" i="32"/>
  <c r="O6" i="32"/>
  <c r="B7" i="32"/>
  <c r="O7" i="32"/>
  <c r="B8" i="32"/>
  <c r="O8" i="32"/>
  <c r="C9" i="32"/>
  <c r="B9" i="32"/>
  <c r="O9" i="32"/>
  <c r="B10" i="32"/>
  <c r="O10" i="32"/>
  <c r="B11" i="32"/>
  <c r="O11" i="32"/>
  <c r="H13" i="32"/>
  <c r="H56" i="32"/>
  <c r="P4" i="32"/>
  <c r="Q4" i="32"/>
  <c r="D5" i="32"/>
  <c r="E5" i="32"/>
  <c r="P5" i="32"/>
  <c r="Q5" i="32"/>
  <c r="V5" i="32"/>
  <c r="R5" i="32"/>
  <c r="W5" i="32"/>
  <c r="D6" i="32"/>
  <c r="E6" i="32"/>
  <c r="R6" i="32"/>
  <c r="K6" i="32"/>
  <c r="M6" i="32"/>
  <c r="P6" i="32"/>
  <c r="Q6" i="32"/>
  <c r="S6" i="32"/>
  <c r="V6" i="32"/>
  <c r="W6" i="32"/>
  <c r="AA6" i="32"/>
  <c r="D7" i="32"/>
  <c r="E7" i="32"/>
  <c r="P7" i="32"/>
  <c r="Q7" i="32"/>
  <c r="R7" i="32"/>
  <c r="V7" i="32"/>
  <c r="W7" i="32"/>
  <c r="AA7" i="32"/>
  <c r="D8" i="32"/>
  <c r="E8" i="32"/>
  <c r="P8" i="32"/>
  <c r="Q8" i="32"/>
  <c r="R8" i="32"/>
  <c r="V8" i="32"/>
  <c r="W8" i="32"/>
  <c r="AA8" i="32"/>
  <c r="D9" i="32"/>
  <c r="E9" i="32"/>
  <c r="P9" i="32"/>
  <c r="Q9" i="32"/>
  <c r="V9" i="32"/>
  <c r="R9" i="32"/>
  <c r="W9" i="32"/>
  <c r="AA9" i="32"/>
  <c r="D10" i="32"/>
  <c r="E10" i="32"/>
  <c r="P10" i="32"/>
  <c r="Q10" i="32"/>
  <c r="R10" i="32"/>
  <c r="V10" i="32"/>
  <c r="W10" i="32"/>
  <c r="AA10" i="32"/>
  <c r="D11" i="32"/>
  <c r="E11" i="32"/>
  <c r="P11" i="32"/>
  <c r="Q11" i="32"/>
  <c r="V11" i="32"/>
  <c r="R11" i="32"/>
  <c r="W11" i="32"/>
  <c r="D12" i="32"/>
  <c r="O12" i="32"/>
  <c r="D13" i="32"/>
  <c r="G13" i="32"/>
  <c r="F13" i="32"/>
  <c r="O13" i="32"/>
  <c r="D14" i="32"/>
  <c r="P14" i="32"/>
  <c r="Q14" i="32"/>
  <c r="R14" i="32"/>
  <c r="V14" i="32"/>
  <c r="W14" i="32"/>
  <c r="AA14" i="32"/>
  <c r="D15" i="32"/>
  <c r="P15" i="32"/>
  <c r="Q15" i="32"/>
  <c r="V15" i="32"/>
  <c r="R15" i="32"/>
  <c r="W15" i="32"/>
  <c r="AA15" i="32"/>
  <c r="D16" i="32"/>
  <c r="P16" i="32"/>
  <c r="Q16" i="32"/>
  <c r="R16" i="32"/>
  <c r="V16" i="32"/>
  <c r="W16" i="32"/>
  <c r="AA16" i="32"/>
  <c r="D17" i="32"/>
  <c r="P17" i="32"/>
  <c r="Q17" i="32"/>
  <c r="V17" i="32"/>
  <c r="R17" i="32"/>
  <c r="W17" i="32"/>
  <c r="AA17" i="32"/>
  <c r="D18" i="32"/>
  <c r="P18" i="32"/>
  <c r="Q18" i="32"/>
  <c r="V18" i="32"/>
  <c r="R18" i="32"/>
  <c r="W18" i="32"/>
  <c r="AA18" i="32"/>
  <c r="D19" i="32"/>
  <c r="P19" i="32"/>
  <c r="Q19" i="32"/>
  <c r="R19" i="32"/>
  <c r="V19" i="32"/>
  <c r="W19" i="32"/>
  <c r="AA19" i="32"/>
  <c r="D20" i="32"/>
  <c r="P20" i="32"/>
  <c r="Q20" i="32"/>
  <c r="V20" i="32"/>
  <c r="R20" i="32"/>
  <c r="W20" i="32"/>
  <c r="D21" i="32"/>
  <c r="O21" i="32"/>
  <c r="D22" i="32"/>
  <c r="G22" i="32"/>
  <c r="F22" i="32"/>
  <c r="O22" i="32"/>
  <c r="D23" i="32"/>
  <c r="P23" i="32"/>
  <c r="Q23" i="32"/>
  <c r="R23" i="32"/>
  <c r="V23" i="32"/>
  <c r="W23" i="32"/>
  <c r="AA23" i="32"/>
  <c r="D24" i="32"/>
  <c r="P24" i="32"/>
  <c r="Q24" i="32"/>
  <c r="R24" i="32"/>
  <c r="V24" i="32"/>
  <c r="W24" i="32"/>
  <c r="AA24" i="32"/>
  <c r="D25" i="32"/>
  <c r="P25" i="32"/>
  <c r="Q25" i="32"/>
  <c r="V25" i="32"/>
  <c r="W25" i="32"/>
  <c r="AA25" i="32"/>
  <c r="D26" i="32"/>
  <c r="P26" i="32"/>
  <c r="Q26" i="32"/>
  <c r="R26" i="32"/>
  <c r="V26" i="32"/>
  <c r="W26" i="32"/>
  <c r="AA26" i="32"/>
  <c r="D27" i="32"/>
  <c r="P27" i="32"/>
  <c r="Q27" i="32"/>
  <c r="V27" i="32"/>
  <c r="R27" i="32"/>
  <c r="W27" i="32"/>
  <c r="AA27" i="32"/>
  <c r="D28" i="32"/>
  <c r="P28" i="32"/>
  <c r="Q28" i="32"/>
  <c r="R28" i="32"/>
  <c r="V28" i="32"/>
  <c r="W28" i="32"/>
  <c r="AA28" i="32"/>
  <c r="D29" i="32"/>
  <c r="P29" i="32"/>
  <c r="Q29" i="32"/>
  <c r="R29" i="32"/>
  <c r="V29" i="32"/>
  <c r="W29" i="32"/>
  <c r="D30" i="32"/>
  <c r="O30" i="32"/>
  <c r="D31" i="32"/>
  <c r="G31" i="32"/>
  <c r="F31" i="32"/>
  <c r="O31" i="32"/>
  <c r="D32" i="32"/>
  <c r="P32" i="32"/>
  <c r="Q32" i="32"/>
  <c r="V32" i="32"/>
  <c r="R32" i="32"/>
  <c r="W32" i="32"/>
  <c r="AA32" i="32"/>
  <c r="D33" i="32"/>
  <c r="P33" i="32"/>
  <c r="Q33" i="32"/>
  <c r="R33" i="32"/>
  <c r="V33" i="32"/>
  <c r="W33" i="32"/>
  <c r="AA33" i="32"/>
  <c r="D34" i="32"/>
  <c r="P34" i="32"/>
  <c r="Q34" i="32"/>
  <c r="R34" i="32"/>
  <c r="V34" i="32"/>
  <c r="W34" i="32"/>
  <c r="AA34" i="32"/>
  <c r="D35" i="32"/>
  <c r="P35" i="32"/>
  <c r="Q35" i="32"/>
  <c r="R35" i="32"/>
  <c r="V35" i="32"/>
  <c r="W35" i="32"/>
  <c r="AA35" i="32"/>
  <c r="D36" i="32"/>
  <c r="P36" i="32"/>
  <c r="Q36" i="32"/>
  <c r="R36" i="32"/>
  <c r="V36" i="32"/>
  <c r="W36" i="32"/>
  <c r="AA36" i="32"/>
  <c r="D37" i="32"/>
  <c r="P37" i="32"/>
  <c r="Q37" i="32"/>
  <c r="R37" i="32"/>
  <c r="V37" i="32"/>
  <c r="W37" i="32"/>
  <c r="AA37" i="32"/>
  <c r="D38" i="32"/>
  <c r="P38" i="32"/>
  <c r="Q38" i="32"/>
  <c r="R38" i="32"/>
  <c r="V38" i="32"/>
  <c r="W38" i="32"/>
  <c r="D39" i="32"/>
  <c r="O39" i="32"/>
  <c r="D40" i="32"/>
  <c r="G40" i="32"/>
  <c r="F40" i="32"/>
  <c r="S40" i="32"/>
  <c r="R41" i="32"/>
  <c r="V41" i="32"/>
  <c r="R42" i="32"/>
  <c r="V42" i="32"/>
  <c r="R43" i="32"/>
  <c r="V43" i="32"/>
  <c r="R44" i="32"/>
  <c r="V44" i="32"/>
  <c r="V45" i="32"/>
  <c r="V46" i="32"/>
  <c r="V47" i="32"/>
  <c r="V50" i="32"/>
  <c r="V51" i="32"/>
  <c r="S8" i="32"/>
  <c r="S10" i="32"/>
  <c r="S14" i="32"/>
  <c r="S19" i="32"/>
  <c r="S28" i="32"/>
  <c r="S33" i="32"/>
  <c r="S29" i="32"/>
  <c r="S35" i="32"/>
  <c r="S37" i="32"/>
  <c r="S5" i="32"/>
  <c r="S7" i="32"/>
  <c r="S9" i="32"/>
  <c r="S11" i="32"/>
  <c r="S12" i="32"/>
  <c r="S13" i="32"/>
  <c r="S15" i="32"/>
  <c r="S16" i="32"/>
  <c r="S17" i="32"/>
  <c r="S18" i="32"/>
  <c r="S20" i="32"/>
  <c r="S21" i="32"/>
  <c r="S22" i="32"/>
  <c r="S23" i="32"/>
  <c r="S24" i="32"/>
  <c r="S25" i="32"/>
  <c r="S26" i="32"/>
  <c r="S27" i="32"/>
  <c r="S30" i="32"/>
  <c r="S31" i="32"/>
  <c r="S32" i="32"/>
  <c r="S34" i="32"/>
  <c r="S36" i="32"/>
  <c r="S38" i="32"/>
  <c r="S39" i="32"/>
  <c r="S41" i="32"/>
  <c r="S42" i="32"/>
  <c r="S43" i="32"/>
  <c r="S44" i="32"/>
  <c r="R45" i="32"/>
  <c r="S45" i="32"/>
  <c r="R46" i="32"/>
  <c r="S46" i="32"/>
  <c r="R47" i="32"/>
  <c r="S47" i="32"/>
  <c r="S48" i="32"/>
  <c r="S49" i="32"/>
  <c r="R50" i="32"/>
  <c r="S50" i="32"/>
  <c r="R51" i="32"/>
  <c r="S51" i="32"/>
  <c r="L40" i="32"/>
  <c r="O40" i="32"/>
  <c r="D41" i="32"/>
  <c r="E41" i="32"/>
  <c r="P41" i="32"/>
  <c r="Q41" i="32"/>
  <c r="W41" i="32"/>
  <c r="AA41" i="32"/>
  <c r="D42" i="32"/>
  <c r="E42" i="32"/>
  <c r="P42" i="32"/>
  <c r="Q42" i="32"/>
  <c r="W42" i="32"/>
  <c r="AA42" i="32"/>
  <c r="D43" i="32"/>
  <c r="E43" i="32"/>
  <c r="P43" i="32"/>
  <c r="Q43" i="32"/>
  <c r="W43" i="32"/>
  <c r="AA43" i="32"/>
  <c r="D44" i="32"/>
  <c r="E44" i="32"/>
  <c r="P44" i="32"/>
  <c r="Q44" i="32"/>
  <c r="W44" i="32"/>
  <c r="AA44" i="32"/>
  <c r="D45" i="32"/>
  <c r="E45" i="32"/>
  <c r="P45" i="32"/>
  <c r="Q45" i="32"/>
  <c r="W45" i="32"/>
  <c r="AA45" i="32"/>
  <c r="D46" i="32"/>
  <c r="E46" i="32"/>
  <c r="P46" i="32"/>
  <c r="Q46" i="32"/>
  <c r="W46" i="32"/>
  <c r="AA46" i="32"/>
  <c r="D47" i="32"/>
  <c r="E47" i="32"/>
  <c r="P47" i="32"/>
  <c r="Q47" i="32"/>
  <c r="W47" i="32"/>
  <c r="D48" i="32"/>
  <c r="O48" i="32"/>
  <c r="Y48" i="32"/>
  <c r="Z48" i="32"/>
  <c r="D49" i="32"/>
  <c r="G49" i="32"/>
  <c r="F49" i="32"/>
  <c r="O49" i="32"/>
  <c r="Y49" i="32"/>
  <c r="Z49" i="32"/>
  <c r="D50" i="32"/>
  <c r="E50" i="32"/>
  <c r="P50" i="32"/>
  <c r="Q50" i="32"/>
  <c r="W50" i="32"/>
  <c r="AA50" i="32"/>
  <c r="D51" i="32"/>
  <c r="E51" i="32"/>
  <c r="P51" i="32"/>
  <c r="Q51" i="32"/>
  <c r="W51" i="32"/>
  <c r="H52" i="32"/>
  <c r="G52" i="32"/>
  <c r="F52" i="32"/>
  <c r="G53" i="32"/>
  <c r="F53" i="32"/>
  <c r="K19" i="32"/>
  <c r="K28" i="32"/>
  <c r="K29" i="32"/>
  <c r="J53" i="32"/>
  <c r="K53" i="32"/>
  <c r="K5" i="32"/>
  <c r="K11" i="32"/>
  <c r="K18" i="32"/>
  <c r="K20" i="32"/>
  <c r="K27" i="32"/>
  <c r="K32" i="32"/>
  <c r="K46" i="32"/>
  <c r="K47" i="32"/>
  <c r="K50" i="32"/>
  <c r="K51" i="32"/>
  <c r="M5" i="32"/>
  <c r="M7" i="32"/>
  <c r="M8" i="32"/>
  <c r="M9" i="32"/>
  <c r="M10" i="32"/>
  <c r="M11" i="32"/>
  <c r="M14" i="32"/>
  <c r="M15" i="32"/>
  <c r="M16" i="32"/>
  <c r="M17" i="32"/>
  <c r="M18" i="32"/>
  <c r="M19" i="32"/>
  <c r="M20" i="32"/>
  <c r="M23" i="32"/>
  <c r="M24" i="32"/>
  <c r="M26" i="32"/>
  <c r="M27" i="32"/>
  <c r="M28" i="32"/>
  <c r="M29" i="32"/>
  <c r="M32" i="32"/>
  <c r="M33" i="32"/>
  <c r="M34" i="32"/>
  <c r="M35" i="32"/>
  <c r="M36" i="32"/>
  <c r="M37" i="32"/>
  <c r="M38" i="32"/>
  <c r="M41" i="32"/>
  <c r="M42" i="32"/>
  <c r="M43" i="32"/>
  <c r="M44" i="32"/>
  <c r="M45" i="32"/>
  <c r="M46" i="32"/>
  <c r="M47" i="32"/>
  <c r="M50" i="32"/>
  <c r="M51" i="32"/>
  <c r="L53" i="32"/>
  <c r="M53" i="32"/>
  <c r="J21" i="32"/>
  <c r="N53" i="32"/>
  <c r="P53" i="32"/>
  <c r="Q53" i="32"/>
  <c r="R53" i="32"/>
  <c r="S53" i="32"/>
  <c r="T53" i="32"/>
  <c r="U53" i="32"/>
  <c r="V53" i="32"/>
  <c r="J54" i="32"/>
  <c r="K54" i="32"/>
  <c r="L54" i="32"/>
  <c r="M54" i="32"/>
  <c r="N54" i="32"/>
  <c r="P54" i="32"/>
  <c r="Q54" i="32"/>
  <c r="R54" i="32"/>
  <c r="S54" i="32"/>
  <c r="T54" i="32"/>
  <c r="U54" i="32"/>
  <c r="V54" i="32"/>
  <c r="G55" i="32"/>
  <c r="F55" i="32"/>
  <c r="J55" i="32"/>
  <c r="K55" i="32"/>
  <c r="L55" i="32"/>
  <c r="M55" i="32"/>
  <c r="N55" i="32"/>
  <c r="P55" i="32"/>
  <c r="Q55" i="32"/>
  <c r="R55" i="32"/>
  <c r="S55" i="32"/>
  <c r="T55" i="32"/>
  <c r="U55" i="32"/>
  <c r="V55" i="32"/>
  <c r="G56" i="32"/>
  <c r="F56" i="32"/>
  <c r="J56" i="32"/>
  <c r="K56" i="32"/>
  <c r="L56" i="32"/>
  <c r="M56" i="32"/>
  <c r="N56" i="32"/>
  <c r="U34" i="16"/>
  <c r="B2" i="33"/>
  <c r="C35" i="16"/>
  <c r="C3" i="33"/>
  <c r="C11" i="33"/>
  <c r="C14" i="33"/>
  <c r="B14" i="33"/>
  <c r="AA11" i="33"/>
  <c r="H12" i="33"/>
  <c r="G12" i="33"/>
  <c r="F12" i="33"/>
  <c r="N35" i="16"/>
  <c r="AA20" i="33"/>
  <c r="H21" i="33"/>
  <c r="G21" i="33"/>
  <c r="F21" i="33"/>
  <c r="O35" i="16"/>
  <c r="C15" i="33"/>
  <c r="C16" i="33"/>
  <c r="C17" i="33"/>
  <c r="C18" i="33"/>
  <c r="C19" i="33"/>
  <c r="C20" i="33"/>
  <c r="C23" i="33"/>
  <c r="B23" i="33"/>
  <c r="AA29" i="33"/>
  <c r="H30" i="33"/>
  <c r="G30" i="33"/>
  <c r="F30" i="33"/>
  <c r="P35" i="16"/>
  <c r="C24" i="33"/>
  <c r="C25" i="33"/>
  <c r="C26" i="33"/>
  <c r="C27" i="33"/>
  <c r="C28" i="33"/>
  <c r="C29" i="33"/>
  <c r="C32" i="33"/>
  <c r="B32" i="33"/>
  <c r="AA38" i="33"/>
  <c r="H39" i="33"/>
  <c r="G39" i="33"/>
  <c r="F39" i="33"/>
  <c r="Q35" i="16"/>
  <c r="B3" i="33"/>
  <c r="C33" i="33"/>
  <c r="C34" i="33"/>
  <c r="C35" i="33"/>
  <c r="C36" i="33"/>
  <c r="C37" i="33"/>
  <c r="C38" i="33"/>
  <c r="C41" i="33"/>
  <c r="B41" i="33"/>
  <c r="C42" i="33"/>
  <c r="B42" i="33"/>
  <c r="C43" i="33"/>
  <c r="B43" i="33"/>
  <c r="C44" i="33"/>
  <c r="B44" i="33"/>
  <c r="C45" i="33"/>
  <c r="B45" i="33"/>
  <c r="C46" i="33"/>
  <c r="B46" i="33"/>
  <c r="C47" i="33"/>
  <c r="B47" i="33"/>
  <c r="AA47" i="33"/>
  <c r="H48" i="33"/>
  <c r="G48" i="33"/>
  <c r="F48" i="33"/>
  <c r="R35" i="16"/>
  <c r="C50" i="33"/>
  <c r="B50" i="33"/>
  <c r="O50" i="33"/>
  <c r="C51" i="33"/>
  <c r="B51" i="33"/>
  <c r="O51" i="33"/>
  <c r="H53" i="33"/>
  <c r="S35" i="16"/>
  <c r="G35" i="16"/>
  <c r="AA26" i="33"/>
  <c r="AA37" i="33"/>
  <c r="AA45" i="33"/>
  <c r="AA44" i="33"/>
  <c r="AA46" i="33"/>
  <c r="AA32" i="33"/>
  <c r="AA36" i="33"/>
  <c r="AA35" i="33"/>
  <c r="AA50" i="33"/>
  <c r="U35" i="16"/>
  <c r="B2" i="34"/>
  <c r="C36" i="16"/>
  <c r="C3" i="34"/>
  <c r="C11" i="34"/>
  <c r="C14" i="34"/>
  <c r="B14" i="34"/>
  <c r="AA11" i="34"/>
  <c r="H12" i="34"/>
  <c r="G12" i="34"/>
  <c r="F12" i="34"/>
  <c r="N36" i="16"/>
  <c r="AA20" i="34"/>
  <c r="H21" i="34"/>
  <c r="G21" i="34"/>
  <c r="F21" i="34"/>
  <c r="O36" i="16"/>
  <c r="C15" i="34"/>
  <c r="C16" i="34"/>
  <c r="C17" i="34"/>
  <c r="C18" i="34"/>
  <c r="C19" i="34"/>
  <c r="C20" i="34"/>
  <c r="C23" i="34"/>
  <c r="B23" i="34"/>
  <c r="AA29" i="34"/>
  <c r="H30" i="34"/>
  <c r="G30" i="34"/>
  <c r="F30" i="34"/>
  <c r="P36" i="16"/>
  <c r="C24" i="34"/>
  <c r="C25" i="34"/>
  <c r="C26" i="34"/>
  <c r="C27" i="34"/>
  <c r="C28" i="34"/>
  <c r="C29" i="34"/>
  <c r="C32" i="34"/>
  <c r="B32" i="34"/>
  <c r="AA38" i="34"/>
  <c r="H39" i="34"/>
  <c r="G39" i="34"/>
  <c r="F39" i="34"/>
  <c r="Q36" i="16"/>
  <c r="B3" i="34"/>
  <c r="C33" i="34"/>
  <c r="C34" i="34"/>
  <c r="C35" i="34"/>
  <c r="C36" i="34"/>
  <c r="C37" i="34"/>
  <c r="C38" i="34"/>
  <c r="C41" i="34"/>
  <c r="B41" i="34"/>
  <c r="C42" i="34"/>
  <c r="B42" i="34"/>
  <c r="C43" i="34"/>
  <c r="B43" i="34"/>
  <c r="C44" i="34"/>
  <c r="B44" i="34"/>
  <c r="C45" i="34"/>
  <c r="B45" i="34"/>
  <c r="C46" i="34"/>
  <c r="B46" i="34"/>
  <c r="C47" i="34"/>
  <c r="B47" i="34"/>
  <c r="AA47" i="34"/>
  <c r="H48" i="34"/>
  <c r="G48" i="34"/>
  <c r="F48" i="34"/>
  <c r="R36" i="16"/>
  <c r="C50" i="34"/>
  <c r="B50" i="34"/>
  <c r="C51" i="34"/>
  <c r="B51" i="34"/>
  <c r="H52" i="34"/>
  <c r="J34" i="16"/>
  <c r="J35" i="16"/>
  <c r="G3" i="34"/>
  <c r="F3" i="34"/>
  <c r="A3" i="34"/>
  <c r="O50" i="34"/>
  <c r="O51" i="34"/>
  <c r="H53" i="34"/>
  <c r="G52" i="34"/>
  <c r="F52" i="34"/>
  <c r="S36" i="16"/>
  <c r="G36" i="16"/>
  <c r="AA18" i="34"/>
  <c r="AA17" i="34"/>
  <c r="AA28" i="34"/>
  <c r="AA33" i="34"/>
  <c r="AA32" i="34"/>
  <c r="AA50" i="34"/>
  <c r="C10" i="34"/>
  <c r="C6" i="34"/>
  <c r="C7" i="34"/>
  <c r="AA6" i="34"/>
  <c r="C4" i="34"/>
  <c r="O32" i="34"/>
  <c r="B33" i="34"/>
  <c r="O33" i="34"/>
  <c r="B34" i="34"/>
  <c r="O34" i="34"/>
  <c r="B35" i="34"/>
  <c r="O35" i="34"/>
  <c r="B36" i="34"/>
  <c r="O36" i="34"/>
  <c r="B37" i="34"/>
  <c r="O37" i="34"/>
  <c r="B38" i="34"/>
  <c r="O38" i="34"/>
  <c r="H40" i="34"/>
  <c r="O23" i="34"/>
  <c r="B24" i="34"/>
  <c r="O24" i="34"/>
  <c r="B25" i="34"/>
  <c r="O25" i="34"/>
  <c r="B26" i="34"/>
  <c r="O26" i="34"/>
  <c r="B27" i="34"/>
  <c r="O27" i="34"/>
  <c r="B28" i="34"/>
  <c r="O28" i="34"/>
  <c r="B29" i="34"/>
  <c r="O29" i="34"/>
  <c r="H31" i="34"/>
  <c r="O14" i="34"/>
  <c r="B15" i="34"/>
  <c r="O15" i="34"/>
  <c r="B16" i="34"/>
  <c r="O16" i="34"/>
  <c r="B17" i="34"/>
  <c r="O17" i="34"/>
  <c r="B18" i="34"/>
  <c r="O18" i="34"/>
  <c r="B19" i="34"/>
  <c r="O19" i="34"/>
  <c r="B20" i="34"/>
  <c r="O20" i="34"/>
  <c r="H22" i="34"/>
  <c r="O41" i="34"/>
  <c r="O42" i="34"/>
  <c r="O43" i="34"/>
  <c r="O44" i="34"/>
  <c r="O45" i="34"/>
  <c r="O46" i="34"/>
  <c r="O47" i="34"/>
  <c r="H49" i="34"/>
  <c r="C5" i="34"/>
  <c r="B5" i="34"/>
  <c r="O5" i="34"/>
  <c r="B6" i="34"/>
  <c r="O6" i="34"/>
  <c r="B7" i="34"/>
  <c r="O7" i="34"/>
  <c r="C8" i="34"/>
  <c r="B8" i="34"/>
  <c r="O8" i="34"/>
  <c r="C9" i="34"/>
  <c r="B9" i="34"/>
  <c r="O9" i="34"/>
  <c r="B10" i="34"/>
  <c r="O10" i="34"/>
  <c r="B11" i="34"/>
  <c r="O11" i="34"/>
  <c r="H13" i="34"/>
  <c r="H56" i="34"/>
  <c r="P4" i="34"/>
  <c r="Q4" i="34"/>
  <c r="D5" i="34"/>
  <c r="E5" i="34"/>
  <c r="P5" i="34"/>
  <c r="Q5" i="34"/>
  <c r="V5" i="34"/>
  <c r="R5" i="34"/>
  <c r="W5" i="34"/>
  <c r="D6" i="34"/>
  <c r="E6" i="34"/>
  <c r="R6" i="34"/>
  <c r="K6" i="34"/>
  <c r="M6" i="34"/>
  <c r="P6" i="34"/>
  <c r="Q6" i="34"/>
  <c r="S6" i="34"/>
  <c r="V6" i="34"/>
  <c r="W6" i="34"/>
  <c r="D7" i="34"/>
  <c r="E7" i="34"/>
  <c r="P7" i="34"/>
  <c r="Q7" i="34"/>
  <c r="R7" i="34"/>
  <c r="V7" i="34"/>
  <c r="W7" i="34"/>
  <c r="AA7" i="34"/>
  <c r="D8" i="34"/>
  <c r="E8" i="34"/>
  <c r="P8" i="34"/>
  <c r="Q8" i="34"/>
  <c r="V8" i="34"/>
  <c r="R8" i="34"/>
  <c r="W8" i="34"/>
  <c r="AA8" i="34"/>
  <c r="D9" i="34"/>
  <c r="E9" i="34"/>
  <c r="P9" i="34"/>
  <c r="Q9" i="34"/>
  <c r="R9" i="34"/>
  <c r="V9" i="34"/>
  <c r="W9" i="34"/>
  <c r="AA9" i="34"/>
  <c r="D10" i="34"/>
  <c r="E10" i="34"/>
  <c r="P10" i="34"/>
  <c r="Q10" i="34"/>
  <c r="V10" i="34"/>
  <c r="R10" i="34"/>
  <c r="W10" i="34"/>
  <c r="AA10" i="34"/>
  <c r="D11" i="34"/>
  <c r="E11" i="34"/>
  <c r="P11" i="34"/>
  <c r="Q11" i="34"/>
  <c r="R11" i="34"/>
  <c r="V11" i="34"/>
  <c r="W11" i="34"/>
  <c r="D12" i="34"/>
  <c r="O12" i="34"/>
  <c r="D13" i="34"/>
  <c r="G13" i="34"/>
  <c r="F13" i="34"/>
  <c r="O13" i="34"/>
  <c r="D14" i="34"/>
  <c r="P14" i="34"/>
  <c r="Q14" i="34"/>
  <c r="V14" i="34"/>
  <c r="R14" i="34"/>
  <c r="W14" i="34"/>
  <c r="AA14" i="34"/>
  <c r="D15" i="34"/>
  <c r="P15" i="34"/>
  <c r="Q15" i="34"/>
  <c r="R15" i="34"/>
  <c r="V15" i="34"/>
  <c r="W15" i="34"/>
  <c r="AA15" i="34"/>
  <c r="D16" i="34"/>
  <c r="P16" i="34"/>
  <c r="Q16" i="34"/>
  <c r="V16" i="34"/>
  <c r="R16" i="34"/>
  <c r="W16" i="34"/>
  <c r="AA16" i="34"/>
  <c r="D17" i="34"/>
  <c r="P17" i="34"/>
  <c r="Q17" i="34"/>
  <c r="V17" i="34"/>
  <c r="R17" i="34"/>
  <c r="W17" i="34"/>
  <c r="D18" i="34"/>
  <c r="P18" i="34"/>
  <c r="Q18" i="34"/>
  <c r="V18" i="34"/>
  <c r="R18" i="34"/>
  <c r="W18" i="34"/>
  <c r="D19" i="34"/>
  <c r="P19" i="34"/>
  <c r="Q19" i="34"/>
  <c r="V19" i="34"/>
  <c r="R19" i="34"/>
  <c r="W19" i="34"/>
  <c r="AA19" i="34"/>
  <c r="D20" i="34"/>
  <c r="P20" i="34"/>
  <c r="Q20" i="34"/>
  <c r="R20" i="34"/>
  <c r="V20" i="34"/>
  <c r="W20" i="34"/>
  <c r="D21" i="34"/>
  <c r="O21" i="34"/>
  <c r="D22" i="34"/>
  <c r="G22" i="34"/>
  <c r="F22" i="34"/>
  <c r="O22" i="34"/>
  <c r="D23" i="34"/>
  <c r="P23" i="34"/>
  <c r="Q23" i="34"/>
  <c r="V23" i="34"/>
  <c r="R23" i="34"/>
  <c r="W23" i="34"/>
  <c r="AA23" i="34"/>
  <c r="D24" i="34"/>
  <c r="P24" i="34"/>
  <c r="Q24" i="34"/>
  <c r="V24" i="34"/>
  <c r="R24" i="34"/>
  <c r="W24" i="34"/>
  <c r="AA24" i="34"/>
  <c r="D25" i="34"/>
  <c r="P25" i="34"/>
  <c r="Q25" i="34"/>
  <c r="V25" i="34"/>
  <c r="W25" i="34"/>
  <c r="AA25" i="34"/>
  <c r="D26" i="34"/>
  <c r="P26" i="34"/>
  <c r="Q26" i="34"/>
  <c r="R26" i="34"/>
  <c r="V26" i="34"/>
  <c r="W26" i="34"/>
  <c r="AA26" i="34"/>
  <c r="D27" i="34"/>
  <c r="P27" i="34"/>
  <c r="Q27" i="34"/>
  <c r="V27" i="34"/>
  <c r="R27" i="34"/>
  <c r="W27" i="34"/>
  <c r="AA27" i="34"/>
  <c r="D28" i="34"/>
  <c r="P28" i="34"/>
  <c r="Q28" i="34"/>
  <c r="V28" i="34"/>
  <c r="R28" i="34"/>
  <c r="W28" i="34"/>
  <c r="D29" i="34"/>
  <c r="P29" i="34"/>
  <c r="Q29" i="34"/>
  <c r="R29" i="34"/>
  <c r="V29" i="34"/>
  <c r="W29" i="34"/>
  <c r="D30" i="34"/>
  <c r="O30" i="34"/>
  <c r="D31" i="34"/>
  <c r="G31" i="34"/>
  <c r="F31" i="34"/>
  <c r="O31" i="34"/>
  <c r="D32" i="34"/>
  <c r="P32" i="34"/>
  <c r="Q32" i="34"/>
  <c r="V32" i="34"/>
  <c r="R32" i="34"/>
  <c r="W32" i="34"/>
  <c r="D33" i="34"/>
  <c r="P33" i="34"/>
  <c r="Q33" i="34"/>
  <c r="R33" i="34"/>
  <c r="V33" i="34"/>
  <c r="W33" i="34"/>
  <c r="D34" i="34"/>
  <c r="P34" i="34"/>
  <c r="Q34" i="34"/>
  <c r="V34" i="34"/>
  <c r="R34" i="34"/>
  <c r="W34" i="34"/>
  <c r="AA34" i="34"/>
  <c r="D35" i="34"/>
  <c r="P35" i="34"/>
  <c r="Q35" i="34"/>
  <c r="R35" i="34"/>
  <c r="V35" i="34"/>
  <c r="W35" i="34"/>
  <c r="AA35" i="34"/>
  <c r="D36" i="34"/>
  <c r="P36" i="34"/>
  <c r="Q36" i="34"/>
  <c r="V36" i="34"/>
  <c r="R36" i="34"/>
  <c r="W36" i="34"/>
  <c r="AA36" i="34"/>
  <c r="D37" i="34"/>
  <c r="P37" i="34"/>
  <c r="Q37" i="34"/>
  <c r="R37" i="34"/>
  <c r="V37" i="34"/>
  <c r="W37" i="34"/>
  <c r="AA37" i="34"/>
  <c r="D38" i="34"/>
  <c r="P38" i="34"/>
  <c r="Q38" i="34"/>
  <c r="R38" i="34"/>
  <c r="V38" i="34"/>
  <c r="W38" i="34"/>
  <c r="D39" i="34"/>
  <c r="O39" i="34"/>
  <c r="D40" i="34"/>
  <c r="G40" i="34"/>
  <c r="F40" i="34"/>
  <c r="S40" i="34"/>
  <c r="V41" i="34"/>
  <c r="R42" i="34"/>
  <c r="V42" i="34"/>
  <c r="V43" i="34"/>
  <c r="V44" i="34"/>
  <c r="V45" i="34"/>
  <c r="V46" i="34"/>
  <c r="V47" i="34"/>
  <c r="V50" i="34"/>
  <c r="V51" i="34"/>
  <c r="S7" i="34"/>
  <c r="S9" i="34"/>
  <c r="S5" i="34"/>
  <c r="S8" i="34"/>
  <c r="S10" i="34"/>
  <c r="S11" i="34"/>
  <c r="S14" i="34"/>
  <c r="S15" i="34"/>
  <c r="S16" i="34"/>
  <c r="S17" i="34"/>
  <c r="S18" i="34"/>
  <c r="S19" i="34"/>
  <c r="S20" i="34"/>
  <c r="S23" i="34"/>
  <c r="S24" i="34"/>
  <c r="S25" i="34"/>
  <c r="S26" i="34"/>
  <c r="S27" i="34"/>
  <c r="S28" i="34"/>
  <c r="S29" i="34"/>
  <c r="S32" i="34"/>
  <c r="S33" i="34"/>
  <c r="S34" i="34"/>
  <c r="S35" i="34"/>
  <c r="S36" i="34"/>
  <c r="S37" i="34"/>
  <c r="S38" i="34"/>
  <c r="R41" i="34"/>
  <c r="S41" i="34"/>
  <c r="S42" i="34"/>
  <c r="R43" i="34"/>
  <c r="S43" i="34"/>
  <c r="R44" i="34"/>
  <c r="S44" i="34"/>
  <c r="R45" i="34"/>
  <c r="S45" i="34"/>
  <c r="R46" i="34"/>
  <c r="S46" i="34"/>
  <c r="R47" i="34"/>
  <c r="S47" i="34"/>
  <c r="R50" i="34"/>
  <c r="S50" i="34"/>
  <c r="R51" i="34"/>
  <c r="S51" i="34"/>
  <c r="L40" i="34"/>
  <c r="O40" i="34"/>
  <c r="D41" i="34"/>
  <c r="E41" i="34"/>
  <c r="P41" i="34"/>
  <c r="Q41" i="34"/>
  <c r="W41" i="34"/>
  <c r="AA41" i="34"/>
  <c r="D42" i="34"/>
  <c r="E42" i="34"/>
  <c r="P42" i="34"/>
  <c r="Q42" i="34"/>
  <c r="W42" i="34"/>
  <c r="AA42" i="34"/>
  <c r="D43" i="34"/>
  <c r="E43" i="34"/>
  <c r="P43" i="34"/>
  <c r="Q43" i="34"/>
  <c r="W43" i="34"/>
  <c r="AA43" i="34"/>
  <c r="D44" i="34"/>
  <c r="E44" i="34"/>
  <c r="P44" i="34"/>
  <c r="Q44" i="34"/>
  <c r="W44" i="34"/>
  <c r="AA44" i="34"/>
  <c r="D45" i="34"/>
  <c r="E45" i="34"/>
  <c r="P45" i="34"/>
  <c r="Q45" i="34"/>
  <c r="W45" i="34"/>
  <c r="AA45" i="34"/>
  <c r="D46" i="34"/>
  <c r="E46" i="34"/>
  <c r="P46" i="34"/>
  <c r="Q46" i="34"/>
  <c r="W46" i="34"/>
  <c r="AA46" i="34"/>
  <c r="D47" i="34"/>
  <c r="E47" i="34"/>
  <c r="P47" i="34"/>
  <c r="Q47" i="34"/>
  <c r="W47" i="34"/>
  <c r="D48" i="34"/>
  <c r="O48" i="34"/>
  <c r="Y48" i="34"/>
  <c r="Z48" i="34"/>
  <c r="D49" i="34"/>
  <c r="G49" i="34"/>
  <c r="F49" i="34"/>
  <c r="O49" i="34"/>
  <c r="Y49" i="34"/>
  <c r="Z49" i="34"/>
  <c r="D50" i="34"/>
  <c r="E50" i="34"/>
  <c r="P50" i="34"/>
  <c r="Q50" i="34"/>
  <c r="W50" i="34"/>
  <c r="D51" i="34"/>
  <c r="E51" i="34"/>
  <c r="P51" i="34"/>
  <c r="Q51" i="34"/>
  <c r="W51" i="34"/>
  <c r="G53" i="34"/>
  <c r="F53" i="34"/>
  <c r="K7" i="34"/>
  <c r="K9" i="34"/>
  <c r="M9" i="34"/>
  <c r="K5" i="34"/>
  <c r="K8" i="34"/>
  <c r="K10" i="34"/>
  <c r="K11" i="34"/>
  <c r="K14" i="34"/>
  <c r="K15" i="34"/>
  <c r="K16" i="34"/>
  <c r="K17" i="34"/>
  <c r="K18" i="34"/>
  <c r="K19" i="34"/>
  <c r="K20" i="34"/>
  <c r="K23" i="34"/>
  <c r="K24" i="34"/>
  <c r="K25" i="34"/>
  <c r="K26" i="34"/>
  <c r="K27" i="34"/>
  <c r="K28" i="34"/>
  <c r="K29" i="34"/>
  <c r="K32" i="34"/>
  <c r="K33" i="34"/>
  <c r="K34" i="34"/>
  <c r="K35" i="34"/>
  <c r="K36" i="34"/>
  <c r="K37" i="34"/>
  <c r="K38" i="34"/>
  <c r="K41" i="34"/>
  <c r="K42" i="34"/>
  <c r="K43" i="34"/>
  <c r="K44" i="34"/>
  <c r="K45" i="34"/>
  <c r="K46" i="34"/>
  <c r="K47" i="34"/>
  <c r="K50" i="34"/>
  <c r="K51" i="34"/>
  <c r="M5" i="34"/>
  <c r="M7" i="34"/>
  <c r="M8" i="34"/>
  <c r="M10" i="34"/>
  <c r="M11" i="34"/>
  <c r="M14" i="34"/>
  <c r="M15" i="34"/>
  <c r="M16" i="34"/>
  <c r="M17" i="34"/>
  <c r="M18" i="34"/>
  <c r="M19" i="34"/>
  <c r="M20" i="34"/>
  <c r="M23" i="34"/>
  <c r="M24" i="34"/>
  <c r="M26" i="34"/>
  <c r="M27" i="34"/>
  <c r="M28" i="34"/>
  <c r="M29" i="34"/>
  <c r="M32" i="34"/>
  <c r="M33" i="34"/>
  <c r="M34" i="34"/>
  <c r="M35" i="34"/>
  <c r="M36" i="34"/>
  <c r="M37" i="34"/>
  <c r="M38" i="34"/>
  <c r="M41" i="34"/>
  <c r="M42" i="34"/>
  <c r="M43" i="34"/>
  <c r="M44" i="34"/>
  <c r="M45" i="34"/>
  <c r="M46" i="34"/>
  <c r="M47" i="34"/>
  <c r="M50" i="34"/>
  <c r="M51" i="34"/>
  <c r="J53" i="34"/>
  <c r="K53" i="34"/>
  <c r="L53" i="34"/>
  <c r="M53" i="34"/>
  <c r="N53" i="34"/>
  <c r="P53" i="34"/>
  <c r="Q53" i="34"/>
  <c r="R53" i="34"/>
  <c r="S53" i="34"/>
  <c r="T53" i="34"/>
  <c r="U53" i="34"/>
  <c r="V53" i="34"/>
  <c r="J54" i="34"/>
  <c r="K54" i="34"/>
  <c r="L54" i="34"/>
  <c r="M54" i="34"/>
  <c r="N54" i="34"/>
  <c r="P54" i="34"/>
  <c r="Q54" i="34"/>
  <c r="R54" i="34"/>
  <c r="S54" i="34"/>
  <c r="T54" i="34"/>
  <c r="U54" i="34"/>
  <c r="V54" i="34"/>
  <c r="G55" i="34"/>
  <c r="F55" i="34"/>
  <c r="J55" i="34"/>
  <c r="K55" i="34"/>
  <c r="L55" i="34"/>
  <c r="M55" i="34"/>
  <c r="N55" i="34"/>
  <c r="P55" i="34"/>
  <c r="Q55" i="34"/>
  <c r="R55" i="34"/>
  <c r="S55" i="34"/>
  <c r="T55" i="34"/>
  <c r="U55" i="34"/>
  <c r="V55" i="34"/>
  <c r="G56" i="34"/>
  <c r="F56" i="34"/>
  <c r="J56" i="34"/>
  <c r="K56" i="34"/>
  <c r="L56" i="34"/>
  <c r="M56" i="34"/>
  <c r="N56" i="34"/>
  <c r="U36" i="16"/>
  <c r="B2" i="35"/>
  <c r="C37" i="16"/>
  <c r="C3" i="35"/>
  <c r="C11" i="35"/>
  <c r="C14" i="35"/>
  <c r="B14" i="35"/>
  <c r="AA11" i="35"/>
  <c r="H12" i="35"/>
  <c r="G12" i="35"/>
  <c r="F12" i="35"/>
  <c r="N37" i="16"/>
  <c r="AA20" i="35"/>
  <c r="H21" i="35"/>
  <c r="G21" i="35"/>
  <c r="F21" i="35"/>
  <c r="O37" i="16"/>
  <c r="C15" i="35"/>
  <c r="C16" i="35"/>
  <c r="C17" i="35"/>
  <c r="C18" i="35"/>
  <c r="C19" i="35"/>
  <c r="C20" i="35"/>
  <c r="C23" i="35"/>
  <c r="B23" i="35"/>
  <c r="AA29" i="35"/>
  <c r="H30" i="35"/>
  <c r="G30" i="35"/>
  <c r="F30" i="35"/>
  <c r="P37" i="16"/>
  <c r="C24" i="35"/>
  <c r="C25" i="35"/>
  <c r="C26" i="35"/>
  <c r="C27" i="35"/>
  <c r="C28" i="35"/>
  <c r="C29" i="35"/>
  <c r="C32" i="35"/>
  <c r="B32" i="35"/>
  <c r="AA38" i="35"/>
  <c r="H39" i="35"/>
  <c r="G39" i="35"/>
  <c r="F39" i="35"/>
  <c r="Q37" i="16"/>
  <c r="B3" i="35"/>
  <c r="C33" i="35"/>
  <c r="C34" i="35"/>
  <c r="C35" i="35"/>
  <c r="C36" i="35"/>
  <c r="C37" i="35"/>
  <c r="C38" i="35"/>
  <c r="C41" i="35"/>
  <c r="B41" i="35"/>
  <c r="C42" i="35"/>
  <c r="B42" i="35"/>
  <c r="C43" i="35"/>
  <c r="B43" i="35"/>
  <c r="C44" i="35"/>
  <c r="B44" i="35"/>
  <c r="C45" i="35"/>
  <c r="B45" i="35"/>
  <c r="C46" i="35"/>
  <c r="B46" i="35"/>
  <c r="C47" i="35"/>
  <c r="B47" i="35"/>
  <c r="AA47" i="35"/>
  <c r="H48" i="35"/>
  <c r="G48" i="35"/>
  <c r="F48" i="35"/>
  <c r="R37" i="16"/>
  <c r="C50" i="35"/>
  <c r="B50" i="35"/>
  <c r="O50" i="35"/>
  <c r="C51" i="35"/>
  <c r="B51" i="35"/>
  <c r="O51" i="35"/>
  <c r="H53" i="35"/>
  <c r="S37" i="16"/>
  <c r="G37" i="16"/>
  <c r="AA24" i="35"/>
  <c r="AA23" i="35"/>
  <c r="C10" i="35"/>
  <c r="C6" i="35"/>
  <c r="C8" i="35"/>
  <c r="C9" i="35"/>
  <c r="C4" i="35"/>
  <c r="J36" i="16"/>
  <c r="G3" i="35"/>
  <c r="F3" i="35"/>
  <c r="A3" i="35"/>
  <c r="O32" i="35"/>
  <c r="B33" i="35"/>
  <c r="O33" i="35"/>
  <c r="B34" i="35"/>
  <c r="O34" i="35"/>
  <c r="B35" i="35"/>
  <c r="O35" i="35"/>
  <c r="B36" i="35"/>
  <c r="O36" i="35"/>
  <c r="B37" i="35"/>
  <c r="O37" i="35"/>
  <c r="B38" i="35"/>
  <c r="O38" i="35"/>
  <c r="H40" i="35"/>
  <c r="O23" i="35"/>
  <c r="B24" i="35"/>
  <c r="O24" i="35"/>
  <c r="B25" i="35"/>
  <c r="O25" i="35"/>
  <c r="B26" i="35"/>
  <c r="O26" i="35"/>
  <c r="B27" i="35"/>
  <c r="O27" i="35"/>
  <c r="B28" i="35"/>
  <c r="O28" i="35"/>
  <c r="B29" i="35"/>
  <c r="O29" i="35"/>
  <c r="H31" i="35"/>
  <c r="O14" i="35"/>
  <c r="B15" i="35"/>
  <c r="O15" i="35"/>
  <c r="B16" i="35"/>
  <c r="O16" i="35"/>
  <c r="B17" i="35"/>
  <c r="O17" i="35"/>
  <c r="B18" i="35"/>
  <c r="O18" i="35"/>
  <c r="B19" i="35"/>
  <c r="O19" i="35"/>
  <c r="B20" i="35"/>
  <c r="O20" i="35"/>
  <c r="H22" i="35"/>
  <c r="O41" i="35"/>
  <c r="O42" i="35"/>
  <c r="O43" i="35"/>
  <c r="O44" i="35"/>
  <c r="O45" i="35"/>
  <c r="O46" i="35"/>
  <c r="O47" i="35"/>
  <c r="H49" i="35"/>
  <c r="C5" i="35"/>
  <c r="B5" i="35"/>
  <c r="O5" i="35"/>
  <c r="B6" i="35"/>
  <c r="O6" i="35"/>
  <c r="C7" i="35"/>
  <c r="B7" i="35"/>
  <c r="O7" i="35"/>
  <c r="B8" i="35"/>
  <c r="O8" i="35"/>
  <c r="B9" i="35"/>
  <c r="O9" i="35"/>
  <c r="B10" i="35"/>
  <c r="O10" i="35"/>
  <c r="B11" i="35"/>
  <c r="O11" i="35"/>
  <c r="H13" i="35"/>
  <c r="H56" i="35"/>
  <c r="P4" i="35"/>
  <c r="Q4" i="35"/>
  <c r="D5" i="35"/>
  <c r="E5" i="35"/>
  <c r="P5" i="35"/>
  <c r="Q5" i="35"/>
  <c r="V5" i="35"/>
  <c r="R5" i="35"/>
  <c r="W5" i="35"/>
  <c r="D6" i="35"/>
  <c r="E6" i="35"/>
  <c r="P6" i="35"/>
  <c r="Q6" i="35"/>
  <c r="V6" i="35"/>
  <c r="R6" i="35"/>
  <c r="W6" i="35"/>
  <c r="D7" i="35"/>
  <c r="E7" i="35"/>
  <c r="P7" i="35"/>
  <c r="Q7" i="35"/>
  <c r="V7" i="35"/>
  <c r="R7" i="35"/>
  <c r="W7" i="35"/>
  <c r="D8" i="35"/>
  <c r="E8" i="35"/>
  <c r="R8" i="35"/>
  <c r="K8" i="35"/>
  <c r="M8" i="35"/>
  <c r="P8" i="35"/>
  <c r="Q8" i="35"/>
  <c r="S8" i="35"/>
  <c r="V8" i="35"/>
  <c r="W8" i="35"/>
  <c r="AA8" i="35"/>
  <c r="D9" i="35"/>
  <c r="E9" i="35"/>
  <c r="P9" i="35"/>
  <c r="Q9" i="35"/>
  <c r="V9" i="35"/>
  <c r="R9" i="35"/>
  <c r="W9" i="35"/>
  <c r="AA9" i="35"/>
  <c r="D10" i="35"/>
  <c r="E10" i="35"/>
  <c r="P10" i="35"/>
  <c r="Q10" i="35"/>
  <c r="R10" i="35"/>
  <c r="V10" i="35"/>
  <c r="W10" i="35"/>
  <c r="AA10" i="35"/>
  <c r="D11" i="35"/>
  <c r="E11" i="35"/>
  <c r="P11" i="35"/>
  <c r="Q11" i="35"/>
  <c r="R11" i="35"/>
  <c r="V11" i="35"/>
  <c r="W11" i="35"/>
  <c r="D12" i="35"/>
  <c r="O12" i="35"/>
  <c r="D13" i="35"/>
  <c r="G13" i="35"/>
  <c r="F13" i="35"/>
  <c r="O13" i="35"/>
  <c r="D14" i="35"/>
  <c r="P14" i="35"/>
  <c r="Q14" i="35"/>
  <c r="V14" i="35"/>
  <c r="R14" i="35"/>
  <c r="W14" i="35"/>
  <c r="AA14" i="35"/>
  <c r="D15" i="35"/>
  <c r="P15" i="35"/>
  <c r="Q15" i="35"/>
  <c r="R15" i="35"/>
  <c r="V15" i="35"/>
  <c r="W15" i="35"/>
  <c r="AA15" i="35"/>
  <c r="D16" i="35"/>
  <c r="P16" i="35"/>
  <c r="Q16" i="35"/>
  <c r="V16" i="35"/>
  <c r="R16" i="35"/>
  <c r="W16" i="35"/>
  <c r="AA16" i="35"/>
  <c r="D17" i="35"/>
  <c r="P17" i="35"/>
  <c r="Q17" i="35"/>
  <c r="V17" i="35"/>
  <c r="R17" i="35"/>
  <c r="W17" i="35"/>
  <c r="AA17" i="35"/>
  <c r="D18" i="35"/>
  <c r="P18" i="35"/>
  <c r="Q18" i="35"/>
  <c r="R18" i="35"/>
  <c r="V18" i="35"/>
  <c r="W18" i="35"/>
  <c r="AA18" i="35"/>
  <c r="D19" i="35"/>
  <c r="P19" i="35"/>
  <c r="Q19" i="35"/>
  <c r="R19" i="35"/>
  <c r="V19" i="35"/>
  <c r="W19" i="35"/>
  <c r="AA19" i="35"/>
  <c r="D20" i="35"/>
  <c r="P20" i="35"/>
  <c r="Q20" i="35"/>
  <c r="R20" i="35"/>
  <c r="V20" i="35"/>
  <c r="W20" i="35"/>
  <c r="D21" i="35"/>
  <c r="O21" i="35"/>
  <c r="D22" i="35"/>
  <c r="G22" i="35"/>
  <c r="F22" i="35"/>
  <c r="O22" i="35"/>
  <c r="D23" i="35"/>
  <c r="P23" i="35"/>
  <c r="Q23" i="35"/>
  <c r="R23" i="35"/>
  <c r="V23" i="35"/>
  <c r="W23" i="35"/>
  <c r="D24" i="35"/>
  <c r="P24" i="35"/>
  <c r="Q24" i="35"/>
  <c r="V24" i="35"/>
  <c r="R24" i="35"/>
  <c r="W24" i="35"/>
  <c r="D25" i="35"/>
  <c r="P25" i="35"/>
  <c r="Q25" i="35"/>
  <c r="V25" i="35"/>
  <c r="W25" i="35"/>
  <c r="AA25" i="35"/>
  <c r="D26" i="35"/>
  <c r="P26" i="35"/>
  <c r="Q26" i="35"/>
  <c r="V26" i="35"/>
  <c r="R26" i="35"/>
  <c r="W26" i="35"/>
  <c r="AA26" i="35"/>
  <c r="D27" i="35"/>
  <c r="P27" i="35"/>
  <c r="Q27" i="35"/>
  <c r="V27" i="35"/>
  <c r="R27" i="35"/>
  <c r="W27" i="35"/>
  <c r="AA27" i="35"/>
  <c r="D28" i="35"/>
  <c r="P28" i="35"/>
  <c r="Q28" i="35"/>
  <c r="V28" i="35"/>
  <c r="R28" i="35"/>
  <c r="W28" i="35"/>
  <c r="AA28" i="35"/>
  <c r="D29" i="35"/>
  <c r="P29" i="35"/>
  <c r="Q29" i="35"/>
  <c r="V29" i="35"/>
  <c r="R29" i="35"/>
  <c r="W29" i="35"/>
  <c r="D30" i="35"/>
  <c r="O30" i="35"/>
  <c r="D31" i="35"/>
  <c r="G31" i="35"/>
  <c r="F31" i="35"/>
  <c r="O31" i="35"/>
  <c r="D32" i="35"/>
  <c r="P32" i="35"/>
  <c r="Q32" i="35"/>
  <c r="R32" i="35"/>
  <c r="V32" i="35"/>
  <c r="W32" i="35"/>
  <c r="AA32" i="35"/>
  <c r="D33" i="35"/>
  <c r="P33" i="35"/>
  <c r="Q33" i="35"/>
  <c r="V33" i="35"/>
  <c r="R33" i="35"/>
  <c r="W33" i="35"/>
  <c r="AA33" i="35"/>
  <c r="D34" i="35"/>
  <c r="P34" i="35"/>
  <c r="Q34" i="35"/>
  <c r="V34" i="35"/>
  <c r="R34" i="35"/>
  <c r="W34" i="35"/>
  <c r="AA34" i="35"/>
  <c r="D35" i="35"/>
  <c r="P35" i="35"/>
  <c r="Q35" i="35"/>
  <c r="V35" i="35"/>
  <c r="R35" i="35"/>
  <c r="W35" i="35"/>
  <c r="AA35" i="35"/>
  <c r="D36" i="35"/>
  <c r="P36" i="35"/>
  <c r="Q36" i="35"/>
  <c r="V36" i="35"/>
  <c r="R36" i="35"/>
  <c r="W36" i="35"/>
  <c r="AA36" i="35"/>
  <c r="D37" i="35"/>
  <c r="P37" i="35"/>
  <c r="Q37" i="35"/>
  <c r="V37" i="35"/>
  <c r="R37" i="35"/>
  <c r="W37" i="35"/>
  <c r="AA37" i="35"/>
  <c r="D38" i="35"/>
  <c r="P38" i="35"/>
  <c r="Q38" i="35"/>
  <c r="R38" i="35"/>
  <c r="V38" i="35"/>
  <c r="W38" i="35"/>
  <c r="D39" i="35"/>
  <c r="O39" i="35"/>
  <c r="D40" i="35"/>
  <c r="G40" i="35"/>
  <c r="F40" i="35"/>
  <c r="S40" i="35"/>
  <c r="V41" i="35"/>
  <c r="V42" i="35"/>
  <c r="V43" i="35"/>
  <c r="R44" i="35"/>
  <c r="V44" i="35"/>
  <c r="V45" i="35"/>
  <c r="V46" i="35"/>
  <c r="R47" i="35"/>
  <c r="V47" i="35"/>
  <c r="V50" i="35"/>
  <c r="V51" i="35"/>
  <c r="S11" i="35"/>
  <c r="S15" i="35"/>
  <c r="S20" i="35"/>
  <c r="S18" i="35"/>
  <c r="S19" i="35"/>
  <c r="S23" i="35"/>
  <c r="S32" i="35"/>
  <c r="S44" i="35"/>
  <c r="S38" i="35"/>
  <c r="S5" i="35"/>
  <c r="S6" i="35"/>
  <c r="S7" i="35"/>
  <c r="S9" i="35"/>
  <c r="S10" i="35"/>
  <c r="S14" i="35"/>
  <c r="S16" i="35"/>
  <c r="S17" i="35"/>
  <c r="S24" i="35"/>
  <c r="S25" i="35"/>
  <c r="S26" i="35"/>
  <c r="S27" i="35"/>
  <c r="S28" i="35"/>
  <c r="S29" i="35"/>
  <c r="S33" i="35"/>
  <c r="S34" i="35"/>
  <c r="S35" i="35"/>
  <c r="S36" i="35"/>
  <c r="S37" i="35"/>
  <c r="R41" i="35"/>
  <c r="S41" i="35"/>
  <c r="R42" i="35"/>
  <c r="S42" i="35"/>
  <c r="R43" i="35"/>
  <c r="S43" i="35"/>
  <c r="R45" i="35"/>
  <c r="S45" i="35"/>
  <c r="R46" i="35"/>
  <c r="S46" i="35"/>
  <c r="S47" i="35"/>
  <c r="R50" i="35"/>
  <c r="S50" i="35"/>
  <c r="R51" i="35"/>
  <c r="S51" i="35"/>
  <c r="L40" i="35"/>
  <c r="O40" i="35"/>
  <c r="D41" i="35"/>
  <c r="E41" i="35"/>
  <c r="P41" i="35"/>
  <c r="Q41" i="35"/>
  <c r="W41" i="35"/>
  <c r="AA41" i="35"/>
  <c r="D42" i="35"/>
  <c r="E42" i="35"/>
  <c r="P42" i="35"/>
  <c r="Q42" i="35"/>
  <c r="W42" i="35"/>
  <c r="AA42" i="35"/>
  <c r="D43" i="35"/>
  <c r="E43" i="35"/>
  <c r="P43" i="35"/>
  <c r="Q43" i="35"/>
  <c r="W43" i="35"/>
  <c r="AA43" i="35"/>
  <c r="D44" i="35"/>
  <c r="E44" i="35"/>
  <c r="P44" i="35"/>
  <c r="Q44" i="35"/>
  <c r="W44" i="35"/>
  <c r="AA44" i="35"/>
  <c r="D45" i="35"/>
  <c r="E45" i="35"/>
  <c r="P45" i="35"/>
  <c r="Q45" i="35"/>
  <c r="W45" i="35"/>
  <c r="AA45" i="35"/>
  <c r="D46" i="35"/>
  <c r="E46" i="35"/>
  <c r="P46" i="35"/>
  <c r="Q46" i="35"/>
  <c r="W46" i="35"/>
  <c r="AA46" i="35"/>
  <c r="D47" i="35"/>
  <c r="E47" i="35"/>
  <c r="P47" i="35"/>
  <c r="Q47" i="35"/>
  <c r="W47" i="35"/>
  <c r="D48" i="35"/>
  <c r="O48" i="35"/>
  <c r="Y48" i="35"/>
  <c r="Z48" i="35"/>
  <c r="D49" i="35"/>
  <c r="G49" i="35"/>
  <c r="F49" i="35"/>
  <c r="O49" i="35"/>
  <c r="Y49" i="35"/>
  <c r="Z49" i="35"/>
  <c r="D50" i="35"/>
  <c r="E50" i="35"/>
  <c r="P50" i="35"/>
  <c r="Q50" i="35"/>
  <c r="W50" i="35"/>
  <c r="AA50" i="35"/>
  <c r="D51" i="35"/>
  <c r="E51" i="35"/>
  <c r="P51" i="35"/>
  <c r="Q51" i="35"/>
  <c r="W51" i="35"/>
  <c r="H52" i="35"/>
  <c r="G52" i="35"/>
  <c r="F52" i="35"/>
  <c r="G53" i="35"/>
  <c r="F53" i="35"/>
  <c r="K11" i="35"/>
  <c r="K15" i="35"/>
  <c r="K20" i="35"/>
  <c r="K18" i="35"/>
  <c r="K19" i="35"/>
  <c r="K23" i="35"/>
  <c r="K32" i="35"/>
  <c r="K44" i="35"/>
  <c r="K38" i="35"/>
  <c r="K5" i="35"/>
  <c r="K6" i="35"/>
  <c r="K7" i="35"/>
  <c r="K9" i="35"/>
  <c r="K10" i="35"/>
  <c r="K14" i="35"/>
  <c r="K16" i="35"/>
  <c r="K17" i="35"/>
  <c r="K24" i="35"/>
  <c r="K25" i="35"/>
  <c r="K26" i="35"/>
  <c r="K27" i="35"/>
  <c r="K28" i="35"/>
  <c r="K29" i="35"/>
  <c r="K33" i="35"/>
  <c r="K34" i="35"/>
  <c r="K35" i="35"/>
  <c r="K36" i="35"/>
  <c r="K37" i="35"/>
  <c r="K41" i="35"/>
  <c r="K42" i="35"/>
  <c r="K43" i="35"/>
  <c r="K45" i="35"/>
  <c r="K46" i="35"/>
  <c r="K47" i="35"/>
  <c r="K50" i="35"/>
  <c r="K51" i="35"/>
  <c r="M5" i="35"/>
  <c r="M6" i="35"/>
  <c r="M7" i="35"/>
  <c r="M9" i="35"/>
  <c r="M10" i="35"/>
  <c r="M11" i="35"/>
  <c r="M14" i="35"/>
  <c r="M15" i="35"/>
  <c r="M16" i="35"/>
  <c r="M17" i="35"/>
  <c r="M18" i="35"/>
  <c r="M19" i="35"/>
  <c r="M20" i="35"/>
  <c r="M23" i="35"/>
  <c r="M24" i="35"/>
  <c r="M26" i="35"/>
  <c r="M27" i="35"/>
  <c r="M28" i="35"/>
  <c r="M29" i="35"/>
  <c r="M32" i="35"/>
  <c r="M33" i="35"/>
  <c r="M34" i="35"/>
  <c r="M35" i="35"/>
  <c r="M36" i="35"/>
  <c r="M37" i="35"/>
  <c r="M38" i="35"/>
  <c r="M41" i="35"/>
  <c r="M42" i="35"/>
  <c r="M43" i="35"/>
  <c r="M44" i="35"/>
  <c r="M45" i="35"/>
  <c r="M46" i="35"/>
  <c r="M47" i="35"/>
  <c r="M50" i="35"/>
  <c r="M51" i="35"/>
  <c r="J53" i="35"/>
  <c r="K53" i="35"/>
  <c r="L53" i="35"/>
  <c r="M53" i="35"/>
  <c r="N53" i="35"/>
  <c r="P53" i="35"/>
  <c r="Q53" i="35"/>
  <c r="R53" i="35"/>
  <c r="S53" i="35"/>
  <c r="T53" i="35"/>
  <c r="U53" i="35"/>
  <c r="V53" i="35"/>
  <c r="J54" i="35"/>
  <c r="K54" i="35"/>
  <c r="L54" i="35"/>
  <c r="M54" i="35"/>
  <c r="N54" i="35"/>
  <c r="P54" i="35"/>
  <c r="Q54" i="35"/>
  <c r="R54" i="35"/>
  <c r="S54" i="35"/>
  <c r="T54" i="35"/>
  <c r="U54" i="35"/>
  <c r="V54" i="35"/>
  <c r="G55" i="35"/>
  <c r="F55" i="35"/>
  <c r="J55" i="35"/>
  <c r="K55" i="35"/>
  <c r="L55" i="35"/>
  <c r="M55" i="35"/>
  <c r="N55" i="35"/>
  <c r="P55" i="35"/>
  <c r="Q55" i="35"/>
  <c r="R55" i="35"/>
  <c r="S55" i="35"/>
  <c r="T55" i="35"/>
  <c r="U55" i="35"/>
  <c r="V55" i="35"/>
  <c r="G56" i="35"/>
  <c r="F56" i="35"/>
  <c r="J56" i="35"/>
  <c r="K56" i="35"/>
  <c r="L56" i="35"/>
  <c r="M56" i="35"/>
  <c r="N56" i="35"/>
  <c r="U37" i="16"/>
  <c r="B2" i="36"/>
  <c r="C38" i="16"/>
  <c r="C3" i="36"/>
  <c r="C11" i="36"/>
  <c r="C14" i="36"/>
  <c r="B14" i="36"/>
  <c r="AA11" i="36"/>
  <c r="H12" i="36"/>
  <c r="G12" i="36"/>
  <c r="F12" i="36"/>
  <c r="N38" i="16"/>
  <c r="AA20" i="36"/>
  <c r="H21" i="36"/>
  <c r="G21" i="36"/>
  <c r="F21" i="36"/>
  <c r="O38" i="16"/>
  <c r="C15" i="36"/>
  <c r="C16" i="36"/>
  <c r="C17" i="36"/>
  <c r="C18" i="36"/>
  <c r="C19" i="36"/>
  <c r="C20" i="36"/>
  <c r="C23" i="36"/>
  <c r="B23" i="36"/>
  <c r="AA29" i="36"/>
  <c r="H30" i="36"/>
  <c r="G30" i="36"/>
  <c r="F30" i="36"/>
  <c r="P38" i="16"/>
  <c r="C24" i="36"/>
  <c r="C25" i="36"/>
  <c r="C26" i="36"/>
  <c r="C27" i="36"/>
  <c r="C28" i="36"/>
  <c r="C29" i="36"/>
  <c r="C32" i="36"/>
  <c r="B32" i="36"/>
  <c r="AA38" i="36"/>
  <c r="H39" i="36"/>
  <c r="G39" i="36"/>
  <c r="F39" i="36"/>
  <c r="Q38" i="16"/>
  <c r="B3" i="36"/>
  <c r="C33" i="36"/>
  <c r="C34" i="36"/>
  <c r="C35" i="36"/>
  <c r="C36" i="36"/>
  <c r="C37" i="36"/>
  <c r="C38" i="36"/>
  <c r="C41" i="36"/>
  <c r="B41" i="36"/>
  <c r="C42" i="36"/>
  <c r="B42" i="36"/>
  <c r="C43" i="36"/>
  <c r="B43" i="36"/>
  <c r="C44" i="36"/>
  <c r="B44" i="36"/>
  <c r="C45" i="36"/>
  <c r="B45" i="36"/>
  <c r="C46" i="36"/>
  <c r="B46" i="36"/>
  <c r="C47" i="36"/>
  <c r="B47" i="36"/>
  <c r="AA47" i="36"/>
  <c r="H48" i="36"/>
  <c r="G48" i="36"/>
  <c r="F48" i="36"/>
  <c r="R38" i="16"/>
  <c r="C50" i="36"/>
  <c r="B50" i="36"/>
  <c r="J37" i="16"/>
  <c r="G3" i="36"/>
  <c r="A3" i="36"/>
  <c r="F3" i="36"/>
  <c r="O50" i="36"/>
  <c r="C51" i="36"/>
  <c r="B51" i="36"/>
  <c r="O51" i="36"/>
  <c r="H53" i="36"/>
  <c r="H52" i="36"/>
  <c r="G52" i="36"/>
  <c r="F52" i="36"/>
  <c r="S38" i="16"/>
  <c r="G38" i="16"/>
  <c r="AA34" i="36"/>
  <c r="AA33" i="36"/>
  <c r="AA37" i="36"/>
  <c r="C10" i="36"/>
  <c r="AA14" i="36"/>
  <c r="AA42" i="36"/>
  <c r="AA41" i="36"/>
  <c r="AA50" i="36"/>
  <c r="U38" i="16"/>
  <c r="B2" i="37"/>
  <c r="C39" i="16"/>
  <c r="C3" i="37"/>
  <c r="C11" i="37"/>
  <c r="C14" i="37"/>
  <c r="B14" i="37"/>
  <c r="AA11" i="37"/>
  <c r="H12" i="37"/>
  <c r="G12" i="37"/>
  <c r="F12" i="37"/>
  <c r="N39" i="16"/>
  <c r="AA20" i="37"/>
  <c r="H21" i="37"/>
  <c r="G21" i="37"/>
  <c r="F21" i="37"/>
  <c r="O39" i="16"/>
  <c r="C15" i="37"/>
  <c r="C16" i="37"/>
  <c r="C17" i="37"/>
  <c r="C18" i="37"/>
  <c r="C19" i="37"/>
  <c r="C20" i="37"/>
  <c r="C23" i="37"/>
  <c r="B23" i="37"/>
  <c r="AA29" i="37"/>
  <c r="H30" i="37"/>
  <c r="G30" i="37"/>
  <c r="F30" i="37"/>
  <c r="P39" i="16"/>
  <c r="C24" i="37"/>
  <c r="C25" i="37"/>
  <c r="C26" i="37"/>
  <c r="C27" i="37"/>
  <c r="C28" i="37"/>
  <c r="C29" i="37"/>
  <c r="C32" i="37"/>
  <c r="B32" i="37"/>
  <c r="AA38" i="37"/>
  <c r="H39" i="37"/>
  <c r="G39" i="37"/>
  <c r="F39" i="37"/>
  <c r="Q39" i="16"/>
  <c r="B3" i="37"/>
  <c r="C33" i="37"/>
  <c r="C34" i="37"/>
  <c r="C35" i="37"/>
  <c r="C36" i="37"/>
  <c r="C37" i="37"/>
  <c r="C38" i="37"/>
  <c r="C41" i="37"/>
  <c r="B41" i="37"/>
  <c r="C42" i="37"/>
  <c r="B42" i="37"/>
  <c r="C43" i="37"/>
  <c r="B43" i="37"/>
  <c r="C44" i="37"/>
  <c r="B44" i="37"/>
  <c r="C45" i="37"/>
  <c r="B45" i="37"/>
  <c r="C46" i="37"/>
  <c r="B46" i="37"/>
  <c r="C47" i="37"/>
  <c r="B47" i="37"/>
  <c r="AA47" i="37"/>
  <c r="H48" i="37"/>
  <c r="G48" i="37"/>
  <c r="F48" i="37"/>
  <c r="R39" i="16"/>
  <c r="C50" i="37"/>
  <c r="B50" i="37"/>
  <c r="O50" i="37"/>
  <c r="C51" i="37"/>
  <c r="B51" i="37"/>
  <c r="O51" i="37"/>
  <c r="H53" i="37"/>
  <c r="S39" i="16"/>
  <c r="G39" i="16"/>
  <c r="AA18" i="37"/>
  <c r="AA17" i="37"/>
  <c r="AA25" i="37"/>
  <c r="AA24" i="37"/>
  <c r="AA27" i="37"/>
  <c r="AA45" i="37"/>
  <c r="AA44" i="37"/>
  <c r="AA46" i="37"/>
  <c r="C10" i="37"/>
  <c r="AA16" i="37"/>
  <c r="AA28" i="37"/>
  <c r="AA35" i="37"/>
  <c r="AA37" i="37"/>
  <c r="AA43" i="37"/>
  <c r="U39" i="16"/>
  <c r="B2" i="38"/>
  <c r="C40" i="16"/>
  <c r="C3" i="38"/>
  <c r="C11" i="38"/>
  <c r="C14" i="38"/>
  <c r="B14" i="38"/>
  <c r="AA11" i="38"/>
  <c r="H12" i="38"/>
  <c r="G12" i="38"/>
  <c r="F12" i="38"/>
  <c r="N40" i="16"/>
  <c r="AA20" i="38"/>
  <c r="H21" i="38"/>
  <c r="G21" i="38"/>
  <c r="F21" i="38"/>
  <c r="O40" i="16"/>
  <c r="C15" i="38"/>
  <c r="C16" i="38"/>
  <c r="C17" i="38"/>
  <c r="C18" i="38"/>
  <c r="C19" i="38"/>
  <c r="C20" i="38"/>
  <c r="C23" i="38"/>
  <c r="B23" i="38"/>
  <c r="AA29" i="38"/>
  <c r="H30" i="38"/>
  <c r="G30" i="38"/>
  <c r="F30" i="38"/>
  <c r="P40" i="16"/>
  <c r="C24" i="38"/>
  <c r="C25" i="38"/>
  <c r="C26" i="38"/>
  <c r="C27" i="38"/>
  <c r="C28" i="38"/>
  <c r="C29" i="38"/>
  <c r="C32" i="38"/>
  <c r="B32" i="38"/>
  <c r="AA38" i="38"/>
  <c r="H39" i="38"/>
  <c r="G39" i="38"/>
  <c r="F39" i="38"/>
  <c r="Q40" i="16"/>
  <c r="B3" i="38"/>
  <c r="C33" i="38"/>
  <c r="C34" i="38"/>
  <c r="C35" i="38"/>
  <c r="C36" i="38"/>
  <c r="C37" i="38"/>
  <c r="C38" i="38"/>
  <c r="C41" i="38"/>
  <c r="B41" i="38"/>
  <c r="C42" i="38"/>
  <c r="B42" i="38"/>
  <c r="C43" i="38"/>
  <c r="B43" i="38"/>
  <c r="C44" i="38"/>
  <c r="B44" i="38"/>
  <c r="C45" i="38"/>
  <c r="B45" i="38"/>
  <c r="C46" i="38"/>
  <c r="B46" i="38"/>
  <c r="C47" i="38"/>
  <c r="B47" i="38"/>
  <c r="AA47" i="38"/>
  <c r="H48" i="38"/>
  <c r="G48" i="38"/>
  <c r="F48" i="38"/>
  <c r="R40" i="16"/>
  <c r="C50" i="38"/>
  <c r="B50" i="38"/>
  <c r="J38" i="16"/>
  <c r="J39" i="16"/>
  <c r="G3" i="38"/>
  <c r="A3" i="38"/>
  <c r="F3" i="38"/>
  <c r="O50" i="38"/>
  <c r="C51" i="38"/>
  <c r="B51" i="38"/>
  <c r="O51" i="38"/>
  <c r="H53" i="38"/>
  <c r="H52" i="38"/>
  <c r="G52" i="38"/>
  <c r="F52" i="38"/>
  <c r="S40" i="16"/>
  <c r="G40" i="16"/>
  <c r="C10" i="38"/>
  <c r="AA10" i="38"/>
  <c r="AA37" i="38"/>
  <c r="AA18" i="38"/>
  <c r="AA17" i="38"/>
  <c r="AA19" i="38"/>
  <c r="AA36" i="38"/>
  <c r="AA35" i="38"/>
  <c r="AA42" i="38"/>
  <c r="AA46" i="38"/>
  <c r="U40" i="16"/>
  <c r="B2" i="39"/>
  <c r="C41" i="16"/>
  <c r="C3" i="39"/>
  <c r="C11" i="39"/>
  <c r="C14" i="39"/>
  <c r="B14" i="39"/>
  <c r="AA11" i="39"/>
  <c r="H12" i="39"/>
  <c r="G12" i="39"/>
  <c r="F12" i="39"/>
  <c r="N41" i="16"/>
  <c r="AA20" i="39"/>
  <c r="H21" i="39"/>
  <c r="G21" i="39"/>
  <c r="F21" i="39"/>
  <c r="O41" i="16"/>
  <c r="C15" i="39"/>
  <c r="C16" i="39"/>
  <c r="C17" i="39"/>
  <c r="C18" i="39"/>
  <c r="C19" i="39"/>
  <c r="C20" i="39"/>
  <c r="C23" i="39"/>
  <c r="B23" i="39"/>
  <c r="AA29" i="39"/>
  <c r="H30" i="39"/>
  <c r="G30" i="39"/>
  <c r="F30" i="39"/>
  <c r="P41" i="16"/>
  <c r="C24" i="39"/>
  <c r="C25" i="39"/>
  <c r="C26" i="39"/>
  <c r="C27" i="39"/>
  <c r="C28" i="39"/>
  <c r="C29" i="39"/>
  <c r="C32" i="39"/>
  <c r="B32" i="39"/>
  <c r="AA38" i="39"/>
  <c r="H39" i="39"/>
  <c r="G39" i="39"/>
  <c r="F39" i="39"/>
  <c r="Q41" i="16"/>
  <c r="B3" i="39"/>
  <c r="C33" i="39"/>
  <c r="C34" i="39"/>
  <c r="C35" i="39"/>
  <c r="C36" i="39"/>
  <c r="C37" i="39"/>
  <c r="C38" i="39"/>
  <c r="C41" i="39"/>
  <c r="B41" i="39"/>
  <c r="C42" i="39"/>
  <c r="B42" i="39"/>
  <c r="C43" i="39"/>
  <c r="B43" i="39"/>
  <c r="C44" i="39"/>
  <c r="B44" i="39"/>
  <c r="C45" i="39"/>
  <c r="B45" i="39"/>
  <c r="C46" i="39"/>
  <c r="B46" i="39"/>
  <c r="C47" i="39"/>
  <c r="B47" i="39"/>
  <c r="AA47" i="39"/>
  <c r="H48" i="39"/>
  <c r="G48" i="39"/>
  <c r="F48" i="39"/>
  <c r="R41" i="16"/>
  <c r="C50" i="39"/>
  <c r="B50" i="39"/>
  <c r="C51" i="39"/>
  <c r="B51" i="39"/>
  <c r="H52" i="39"/>
  <c r="J40" i="16"/>
  <c r="G3" i="39"/>
  <c r="F3" i="39"/>
  <c r="A3" i="39"/>
  <c r="O50" i="39"/>
  <c r="O51" i="39"/>
  <c r="H53" i="39"/>
  <c r="G52" i="39"/>
  <c r="F52" i="39"/>
  <c r="S41" i="16"/>
  <c r="G41" i="16"/>
  <c r="AA34" i="39"/>
  <c r="AA33" i="39"/>
  <c r="AA46" i="39"/>
  <c r="AA17" i="39"/>
  <c r="C10" i="39"/>
  <c r="AA28" i="39"/>
  <c r="AA27" i="39"/>
  <c r="AA32" i="39"/>
  <c r="AA37" i="39"/>
  <c r="AA36" i="39"/>
  <c r="AA42" i="39"/>
  <c r="AA41" i="39"/>
  <c r="U41" i="16"/>
  <c r="B2" i="40"/>
  <c r="C42" i="16"/>
  <c r="C3" i="40"/>
  <c r="C11" i="40"/>
  <c r="C14" i="40"/>
  <c r="B14" i="40"/>
  <c r="AA11" i="40"/>
  <c r="H12" i="40"/>
  <c r="G12" i="40"/>
  <c r="F12" i="40"/>
  <c r="N42" i="16"/>
  <c r="AA20" i="40"/>
  <c r="H21" i="40"/>
  <c r="G21" i="40"/>
  <c r="F21" i="40"/>
  <c r="O42" i="16"/>
  <c r="C15" i="40"/>
  <c r="C16" i="40"/>
  <c r="C17" i="40"/>
  <c r="C18" i="40"/>
  <c r="C19" i="40"/>
  <c r="C20" i="40"/>
  <c r="C23" i="40"/>
  <c r="B23" i="40"/>
  <c r="AA29" i="40"/>
  <c r="H30" i="40"/>
  <c r="G30" i="40"/>
  <c r="F30" i="40"/>
  <c r="P42" i="16"/>
  <c r="C24" i="40"/>
  <c r="C25" i="40"/>
  <c r="C26" i="40"/>
  <c r="C27" i="40"/>
  <c r="C28" i="40"/>
  <c r="C29" i="40"/>
  <c r="C32" i="40"/>
  <c r="B32" i="40"/>
  <c r="AA38" i="40"/>
  <c r="H39" i="40"/>
  <c r="G39" i="40"/>
  <c r="F39" i="40"/>
  <c r="Q42" i="16"/>
  <c r="B3" i="40"/>
  <c r="C33" i="40"/>
  <c r="C34" i="40"/>
  <c r="C35" i="40"/>
  <c r="C36" i="40"/>
  <c r="C37" i="40"/>
  <c r="C38" i="40"/>
  <c r="C41" i="40"/>
  <c r="B41" i="40"/>
  <c r="C42" i="40"/>
  <c r="B42" i="40"/>
  <c r="C43" i="40"/>
  <c r="B43" i="40"/>
  <c r="C44" i="40"/>
  <c r="B44" i="40"/>
  <c r="C45" i="40"/>
  <c r="B45" i="40"/>
  <c r="C46" i="40"/>
  <c r="B46" i="40"/>
  <c r="C47" i="40"/>
  <c r="B47" i="40"/>
  <c r="AA47" i="40"/>
  <c r="H48" i="40"/>
  <c r="G48" i="40"/>
  <c r="F48" i="40"/>
  <c r="R42" i="16"/>
  <c r="C50" i="40"/>
  <c r="B50" i="40"/>
  <c r="O50" i="40"/>
  <c r="C51" i="40"/>
  <c r="B51" i="40"/>
  <c r="O51" i="40"/>
  <c r="H53" i="40"/>
  <c r="S42" i="16"/>
  <c r="G42" i="16"/>
  <c r="C10" i="40"/>
  <c r="AA15" i="40"/>
  <c r="AA14" i="40"/>
  <c r="AA17" i="40"/>
  <c r="AA19" i="40"/>
  <c r="AA28" i="40"/>
  <c r="AA32" i="40"/>
  <c r="AA34" i="40"/>
  <c r="AA33" i="40"/>
  <c r="AA35" i="40"/>
  <c r="AA41" i="40"/>
  <c r="AA42" i="40"/>
  <c r="AA18" i="40"/>
  <c r="AA45" i="40"/>
  <c r="AA44" i="40"/>
  <c r="U42" i="16"/>
  <c r="B2" i="41"/>
  <c r="C43" i="16"/>
  <c r="C3" i="41"/>
  <c r="C11" i="41"/>
  <c r="C14" i="41"/>
  <c r="B14" i="41"/>
  <c r="H12" i="41"/>
  <c r="G12" i="41"/>
  <c r="F12" i="41"/>
  <c r="N43" i="16"/>
  <c r="AA20" i="41"/>
  <c r="H21" i="41"/>
  <c r="G21" i="41"/>
  <c r="F21" i="41"/>
  <c r="O43" i="16"/>
  <c r="C15" i="41"/>
  <c r="C16" i="41"/>
  <c r="C17" i="41"/>
  <c r="C18" i="41"/>
  <c r="C19" i="41"/>
  <c r="C20" i="41"/>
  <c r="C23" i="41"/>
  <c r="B23" i="41"/>
  <c r="AA29" i="41"/>
  <c r="H30" i="41"/>
  <c r="G30" i="41"/>
  <c r="F30" i="41"/>
  <c r="P43" i="16"/>
  <c r="C24" i="41"/>
  <c r="C25" i="41"/>
  <c r="C26" i="41"/>
  <c r="C27" i="41"/>
  <c r="C28" i="41"/>
  <c r="C29" i="41"/>
  <c r="C32" i="41"/>
  <c r="B32" i="41"/>
  <c r="AA38" i="41"/>
  <c r="H39" i="41"/>
  <c r="G39" i="41"/>
  <c r="F39" i="41"/>
  <c r="Q43" i="16"/>
  <c r="B3" i="41"/>
  <c r="C33" i="41"/>
  <c r="C34" i="41"/>
  <c r="C35" i="41"/>
  <c r="C36" i="41"/>
  <c r="C37" i="41"/>
  <c r="C38" i="41"/>
  <c r="C41" i="41"/>
  <c r="B41" i="41"/>
  <c r="C42" i="41"/>
  <c r="B42" i="41"/>
  <c r="C43" i="41"/>
  <c r="B43" i="41"/>
  <c r="C44" i="41"/>
  <c r="B44" i="41"/>
  <c r="C45" i="41"/>
  <c r="B45" i="41"/>
  <c r="C46" i="41"/>
  <c r="B46" i="41"/>
  <c r="C47" i="41"/>
  <c r="B47" i="41"/>
  <c r="AA47" i="41"/>
  <c r="H48" i="41"/>
  <c r="G48" i="41"/>
  <c r="F48" i="41"/>
  <c r="R43" i="16"/>
  <c r="C50" i="41"/>
  <c r="B50" i="41"/>
  <c r="J41" i="16"/>
  <c r="J42" i="16"/>
  <c r="G3" i="41"/>
  <c r="A3" i="41"/>
  <c r="F3" i="41"/>
  <c r="O50" i="41"/>
  <c r="C51" i="41"/>
  <c r="B51" i="41"/>
  <c r="O51" i="41"/>
  <c r="H53" i="41"/>
  <c r="H52" i="41"/>
  <c r="G52" i="41"/>
  <c r="F52" i="41"/>
  <c r="S43" i="16"/>
  <c r="G43" i="16"/>
  <c r="AA46" i="41"/>
  <c r="AA45" i="41"/>
  <c r="AA17" i="41"/>
  <c r="C10" i="41"/>
  <c r="AA16" i="41"/>
  <c r="AA28" i="41"/>
  <c r="AA35" i="41"/>
  <c r="AA34" i="41"/>
  <c r="AA41" i="41"/>
  <c r="U43" i="16"/>
  <c r="D17" i="16"/>
  <c r="AE29" i="4"/>
  <c r="AE30" i="4"/>
  <c r="R34" i="36"/>
  <c r="K34" i="36"/>
  <c r="R32" i="36"/>
  <c r="K32" i="36"/>
  <c r="R28" i="36"/>
  <c r="K28" i="36"/>
  <c r="R26" i="36"/>
  <c r="K26" i="36"/>
  <c r="R24" i="36"/>
  <c r="K24" i="36"/>
  <c r="R20" i="36"/>
  <c r="K20" i="36"/>
  <c r="R18" i="36"/>
  <c r="K18" i="36"/>
  <c r="R16" i="36"/>
  <c r="K16" i="36"/>
  <c r="R14" i="36"/>
  <c r="K14" i="36"/>
  <c r="R35" i="36"/>
  <c r="K35" i="36"/>
  <c r="R33" i="36"/>
  <c r="K33" i="36"/>
  <c r="R29" i="36"/>
  <c r="K29" i="36"/>
  <c r="R27" i="36"/>
  <c r="K27" i="36"/>
  <c r="K25" i="36"/>
  <c r="R23" i="36"/>
  <c r="K23" i="36"/>
  <c r="R19" i="36"/>
  <c r="K19" i="36"/>
  <c r="R17" i="36"/>
  <c r="K17" i="36"/>
  <c r="R15" i="36"/>
  <c r="K15" i="36"/>
  <c r="R11" i="4"/>
  <c r="S11" i="4"/>
  <c r="S40" i="4"/>
  <c r="B11" i="4"/>
  <c r="V11" i="4"/>
  <c r="R9" i="4"/>
  <c r="S9" i="4"/>
  <c r="R10" i="4"/>
  <c r="S10" i="4"/>
  <c r="V9" i="4"/>
  <c r="B10" i="4"/>
  <c r="V10" i="4"/>
  <c r="R5" i="4"/>
  <c r="S5" i="4"/>
  <c r="R6" i="4"/>
  <c r="S6" i="4"/>
  <c r="R7" i="4"/>
  <c r="S7" i="4"/>
  <c r="R8" i="4"/>
  <c r="S8" i="4"/>
  <c r="S12" i="4"/>
  <c r="S13" i="4"/>
  <c r="R14" i="4"/>
  <c r="S14" i="4"/>
  <c r="R15" i="4"/>
  <c r="S15" i="4"/>
  <c r="R16" i="4"/>
  <c r="S16" i="4"/>
  <c r="R17" i="4"/>
  <c r="S17" i="4"/>
  <c r="R18" i="4"/>
  <c r="S18" i="4"/>
  <c r="R19" i="4"/>
  <c r="S19" i="4"/>
  <c r="R20" i="4"/>
  <c r="S20" i="4"/>
  <c r="S21" i="4"/>
  <c r="S22" i="4"/>
  <c r="R23" i="4"/>
  <c r="S23" i="4"/>
  <c r="R24" i="4"/>
  <c r="S24" i="4"/>
  <c r="S25" i="4"/>
  <c r="R26" i="4"/>
  <c r="S26" i="4"/>
  <c r="R27" i="4"/>
  <c r="S27" i="4"/>
  <c r="R28" i="4"/>
  <c r="S28" i="4"/>
  <c r="R29" i="4"/>
  <c r="S29" i="4"/>
  <c r="S30" i="4"/>
  <c r="S31" i="4"/>
  <c r="R32" i="4"/>
  <c r="S32" i="4"/>
  <c r="R33" i="4"/>
  <c r="S33" i="4"/>
  <c r="R34" i="4"/>
  <c r="S34" i="4"/>
  <c r="R35" i="4"/>
  <c r="S35" i="4"/>
  <c r="R36" i="4"/>
  <c r="S36" i="4"/>
  <c r="R37" i="4"/>
  <c r="S37" i="4"/>
  <c r="R38" i="4"/>
  <c r="S38" i="4"/>
  <c r="S39" i="4"/>
  <c r="R41" i="4"/>
  <c r="S41" i="4"/>
  <c r="R42" i="4"/>
  <c r="S42" i="4"/>
  <c r="R43" i="4"/>
  <c r="S43" i="4"/>
  <c r="R44" i="4"/>
  <c r="S44" i="4"/>
  <c r="R45" i="4"/>
  <c r="S45" i="4"/>
  <c r="R46" i="4"/>
  <c r="S46" i="4"/>
  <c r="R47" i="4"/>
  <c r="S47" i="4"/>
  <c r="S48" i="4"/>
  <c r="S49" i="4"/>
  <c r="R50" i="4"/>
  <c r="S50" i="4"/>
  <c r="R51" i="4"/>
  <c r="S51" i="4"/>
  <c r="V5" i="4"/>
  <c r="V6" i="4"/>
  <c r="C7" i="4"/>
  <c r="B7" i="4"/>
  <c r="V7" i="4"/>
  <c r="V8" i="4"/>
  <c r="V14" i="4"/>
  <c r="V15" i="4"/>
  <c r="B16" i="4"/>
  <c r="V16" i="4"/>
  <c r="B17" i="4"/>
  <c r="V17" i="4"/>
  <c r="B18" i="4"/>
  <c r="V18" i="4"/>
  <c r="B19" i="4"/>
  <c r="V19" i="4"/>
  <c r="V20" i="4"/>
  <c r="V23" i="4"/>
  <c r="B24" i="4"/>
  <c r="V24" i="4"/>
  <c r="B25" i="4"/>
  <c r="V25" i="4"/>
  <c r="B26" i="4"/>
  <c r="V26" i="4"/>
  <c r="B27" i="4"/>
  <c r="V27" i="4"/>
  <c r="B28" i="4"/>
  <c r="V28" i="4"/>
  <c r="B29" i="4"/>
  <c r="V29" i="4"/>
  <c r="V32" i="4"/>
  <c r="B33" i="4"/>
  <c r="V33" i="4"/>
  <c r="V34" i="4"/>
  <c r="B35" i="4"/>
  <c r="V35" i="4"/>
  <c r="V36" i="4"/>
  <c r="B37" i="4"/>
  <c r="V37" i="4"/>
  <c r="B38" i="4"/>
  <c r="V38" i="4"/>
  <c r="V41" i="4"/>
  <c r="V42" i="4"/>
  <c r="V43" i="4"/>
  <c r="V44" i="4"/>
  <c r="V45" i="4"/>
  <c r="V46" i="4"/>
  <c r="V47" i="4"/>
  <c r="V50" i="4"/>
  <c r="V51" i="4"/>
  <c r="L40" i="4"/>
  <c r="AL32" i="16"/>
  <c r="R9" i="33"/>
  <c r="S9" i="33"/>
  <c r="S40" i="33"/>
  <c r="C9" i="33"/>
  <c r="B9" i="33"/>
  <c r="V9" i="33"/>
  <c r="R5" i="33"/>
  <c r="S5" i="33"/>
  <c r="R6" i="33"/>
  <c r="S6" i="33"/>
  <c r="R7" i="33"/>
  <c r="S7" i="33"/>
  <c r="R8" i="33"/>
  <c r="S8" i="33"/>
  <c r="R10" i="33"/>
  <c r="S10" i="33"/>
  <c r="R11" i="33"/>
  <c r="S11" i="33"/>
  <c r="S12" i="33"/>
  <c r="S13" i="33"/>
  <c r="R14" i="33"/>
  <c r="S14" i="33"/>
  <c r="R15" i="33"/>
  <c r="S15" i="33"/>
  <c r="R16" i="33"/>
  <c r="S16" i="33"/>
  <c r="R17" i="33"/>
  <c r="S17" i="33"/>
  <c r="R18" i="33"/>
  <c r="S18" i="33"/>
  <c r="R19" i="33"/>
  <c r="S19" i="33"/>
  <c r="R20" i="33"/>
  <c r="S20" i="33"/>
  <c r="S21" i="33"/>
  <c r="S22" i="33"/>
  <c r="R23" i="33"/>
  <c r="S23" i="33"/>
  <c r="R24" i="33"/>
  <c r="S24" i="33"/>
  <c r="S25" i="33"/>
  <c r="R26" i="33"/>
  <c r="S26" i="33"/>
  <c r="R27" i="33"/>
  <c r="S27" i="33"/>
  <c r="R28" i="33"/>
  <c r="S28" i="33"/>
  <c r="R29" i="33"/>
  <c r="S29" i="33"/>
  <c r="S30" i="33"/>
  <c r="S31" i="33"/>
  <c r="R32" i="33"/>
  <c r="S32" i="33"/>
  <c r="R33" i="33"/>
  <c r="S33" i="33"/>
  <c r="R34" i="33"/>
  <c r="S34" i="33"/>
  <c r="R35" i="33"/>
  <c r="S35" i="33"/>
  <c r="R36" i="33"/>
  <c r="S36" i="33"/>
  <c r="R37" i="33"/>
  <c r="S37" i="33"/>
  <c r="R38" i="33"/>
  <c r="S38" i="33"/>
  <c r="S39" i="33"/>
  <c r="R41" i="33"/>
  <c r="S41" i="33"/>
  <c r="R42" i="33"/>
  <c r="S42" i="33"/>
  <c r="R43" i="33"/>
  <c r="S43" i="33"/>
  <c r="R44" i="33"/>
  <c r="S44" i="33"/>
  <c r="R45" i="33"/>
  <c r="S45" i="33"/>
  <c r="R46" i="33"/>
  <c r="S46" i="33"/>
  <c r="R47" i="33"/>
  <c r="S47" i="33"/>
  <c r="S48" i="33"/>
  <c r="S49" i="33"/>
  <c r="R50" i="33"/>
  <c r="S50" i="33"/>
  <c r="R51" i="33"/>
  <c r="S51" i="33"/>
  <c r="C5" i="33"/>
  <c r="B5" i="33"/>
  <c r="V5" i="33"/>
  <c r="V6" i="33"/>
  <c r="V7" i="33"/>
  <c r="V8" i="33"/>
  <c r="V10" i="33"/>
  <c r="V11" i="33"/>
  <c r="V14" i="33"/>
  <c r="B15" i="33"/>
  <c r="V15" i="33"/>
  <c r="V16" i="33"/>
  <c r="V17" i="33"/>
  <c r="B18" i="33"/>
  <c r="V18" i="33"/>
  <c r="V19" i="33"/>
  <c r="B20" i="33"/>
  <c r="V20" i="33"/>
  <c r="V23" i="33"/>
  <c r="B24" i="33"/>
  <c r="V24" i="33"/>
  <c r="V25" i="33"/>
  <c r="B26" i="33"/>
  <c r="V26" i="33"/>
  <c r="V27" i="33"/>
  <c r="B28" i="33"/>
  <c r="V28" i="33"/>
  <c r="B29" i="33"/>
  <c r="V29" i="33"/>
  <c r="V32" i="33"/>
  <c r="B33" i="33"/>
  <c r="V33" i="33"/>
  <c r="B34" i="33"/>
  <c r="V34" i="33"/>
  <c r="B35" i="33"/>
  <c r="V35" i="33"/>
  <c r="B36" i="33"/>
  <c r="V36" i="33"/>
  <c r="B37" i="33"/>
  <c r="V37" i="33"/>
  <c r="B38" i="33"/>
  <c r="V38" i="33"/>
  <c r="V41" i="33"/>
  <c r="V42" i="33"/>
  <c r="V43" i="33"/>
  <c r="V44" i="33"/>
  <c r="V45" i="33"/>
  <c r="V46" i="33"/>
  <c r="V47" i="33"/>
  <c r="V50" i="33"/>
  <c r="V51" i="33"/>
  <c r="L40" i="33"/>
  <c r="AL35" i="16"/>
  <c r="AL34" i="16"/>
  <c r="AL33" i="16"/>
  <c r="S12" i="34"/>
  <c r="S13" i="34"/>
  <c r="S21" i="34"/>
  <c r="S22" i="34"/>
  <c r="S30" i="34"/>
  <c r="S31" i="34"/>
  <c r="S39" i="34"/>
  <c r="S48" i="34"/>
  <c r="S49" i="34"/>
  <c r="AL36" i="16"/>
  <c r="S12" i="35"/>
  <c r="S13" i="35"/>
  <c r="S21" i="35"/>
  <c r="S22" i="35"/>
  <c r="S30" i="35"/>
  <c r="S31" i="35"/>
  <c r="S39" i="35"/>
  <c r="S48" i="35"/>
  <c r="S49" i="35"/>
  <c r="AL37" i="16"/>
  <c r="R5" i="36"/>
  <c r="S5" i="36"/>
  <c r="R6" i="36"/>
  <c r="S6" i="36"/>
  <c r="R7" i="36"/>
  <c r="S7" i="36"/>
  <c r="R8" i="36"/>
  <c r="S8" i="36"/>
  <c r="R9" i="36"/>
  <c r="S9" i="36"/>
  <c r="R10" i="36"/>
  <c r="S10" i="36"/>
  <c r="R11" i="36"/>
  <c r="S11" i="36"/>
  <c r="S12" i="36"/>
  <c r="S13" i="36"/>
  <c r="S14" i="36"/>
  <c r="S15" i="36"/>
  <c r="S16" i="36"/>
  <c r="S17" i="36"/>
  <c r="S18" i="36"/>
  <c r="S19" i="36"/>
  <c r="S20" i="36"/>
  <c r="S21" i="36"/>
  <c r="S22" i="36"/>
  <c r="S23" i="36"/>
  <c r="S24" i="36"/>
  <c r="S25" i="36"/>
  <c r="S26" i="36"/>
  <c r="S27" i="36"/>
  <c r="S28" i="36"/>
  <c r="S29" i="36"/>
  <c r="S30" i="36"/>
  <c r="S31" i="36"/>
  <c r="S32" i="36"/>
  <c r="S33" i="36"/>
  <c r="S34" i="36"/>
  <c r="S35" i="36"/>
  <c r="R36" i="36"/>
  <c r="S36" i="36"/>
  <c r="R37" i="36"/>
  <c r="S37" i="36"/>
  <c r="R38" i="36"/>
  <c r="S38" i="36"/>
  <c r="S39" i="36"/>
  <c r="S40" i="36"/>
  <c r="R41" i="36"/>
  <c r="S41" i="36"/>
  <c r="R42" i="36"/>
  <c r="S42" i="36"/>
  <c r="R43" i="36"/>
  <c r="S43" i="36"/>
  <c r="R44" i="36"/>
  <c r="S44" i="36"/>
  <c r="R45" i="36"/>
  <c r="S45" i="36"/>
  <c r="R46" i="36"/>
  <c r="S46" i="36"/>
  <c r="R47" i="36"/>
  <c r="S47" i="36"/>
  <c r="S48" i="36"/>
  <c r="S49" i="36"/>
  <c r="R50" i="36"/>
  <c r="S50" i="36"/>
  <c r="R51" i="36"/>
  <c r="S51" i="36"/>
  <c r="C5" i="36"/>
  <c r="B5" i="36"/>
  <c r="V5" i="36"/>
  <c r="V6" i="36"/>
  <c r="V7" i="36"/>
  <c r="C8" i="36"/>
  <c r="B8" i="36"/>
  <c r="V8" i="36"/>
  <c r="V9" i="36"/>
  <c r="B10" i="36"/>
  <c r="V10" i="36"/>
  <c r="B11" i="36"/>
  <c r="V11" i="36"/>
  <c r="V14" i="36"/>
  <c r="B15" i="36"/>
  <c r="V15" i="36"/>
  <c r="B16" i="36"/>
  <c r="V16" i="36"/>
  <c r="B17" i="36"/>
  <c r="V17" i="36"/>
  <c r="B18" i="36"/>
  <c r="V18" i="36"/>
  <c r="B19" i="36"/>
  <c r="V19" i="36"/>
  <c r="B20" i="36"/>
  <c r="V20" i="36"/>
  <c r="V23" i="36"/>
  <c r="B24" i="36"/>
  <c r="V24" i="36"/>
  <c r="B25" i="36"/>
  <c r="V25" i="36"/>
  <c r="B26" i="36"/>
  <c r="V26" i="36"/>
  <c r="B27" i="36"/>
  <c r="V27" i="36"/>
  <c r="B28" i="36"/>
  <c r="V28" i="36"/>
  <c r="B29" i="36"/>
  <c r="V29" i="36"/>
  <c r="V32" i="36"/>
  <c r="B33" i="36"/>
  <c r="V33" i="36"/>
  <c r="B34" i="36"/>
  <c r="V34" i="36"/>
  <c r="B35" i="36"/>
  <c r="V35" i="36"/>
  <c r="V36" i="36"/>
  <c r="B37" i="36"/>
  <c r="V37" i="36"/>
  <c r="B38" i="36"/>
  <c r="V38" i="36"/>
  <c r="V41" i="36"/>
  <c r="V42" i="36"/>
  <c r="V43" i="36"/>
  <c r="V44" i="36"/>
  <c r="V45" i="36"/>
  <c r="V46" i="36"/>
  <c r="V47" i="36"/>
  <c r="V50" i="36"/>
  <c r="V51" i="36"/>
  <c r="L40" i="36"/>
  <c r="AL38" i="16"/>
  <c r="R5" i="37"/>
  <c r="S5" i="37"/>
  <c r="R6" i="37"/>
  <c r="S6" i="37"/>
  <c r="R7" i="37"/>
  <c r="S7" i="37"/>
  <c r="R8" i="37"/>
  <c r="S8" i="37"/>
  <c r="R9" i="37"/>
  <c r="S9" i="37"/>
  <c r="R10" i="37"/>
  <c r="S10" i="37"/>
  <c r="R11" i="37"/>
  <c r="S11" i="37"/>
  <c r="S12" i="37"/>
  <c r="S13" i="37"/>
  <c r="R14" i="37"/>
  <c r="S14" i="37"/>
  <c r="R15" i="37"/>
  <c r="S15" i="37"/>
  <c r="R16" i="37"/>
  <c r="S16" i="37"/>
  <c r="R17" i="37"/>
  <c r="S17" i="37"/>
  <c r="R18" i="37"/>
  <c r="S18" i="37"/>
  <c r="R19" i="37"/>
  <c r="S19" i="37"/>
  <c r="R20" i="37"/>
  <c r="S20" i="37"/>
  <c r="S21" i="37"/>
  <c r="S22" i="37"/>
  <c r="R23" i="37"/>
  <c r="S23" i="37"/>
  <c r="R24" i="37"/>
  <c r="S24" i="37"/>
  <c r="S25" i="37"/>
  <c r="R26" i="37"/>
  <c r="S26" i="37"/>
  <c r="R27" i="37"/>
  <c r="S27" i="37"/>
  <c r="R28" i="37"/>
  <c r="S28" i="37"/>
  <c r="R29" i="37"/>
  <c r="S29" i="37"/>
  <c r="S30" i="37"/>
  <c r="S31" i="37"/>
  <c r="R32" i="37"/>
  <c r="S32" i="37"/>
  <c r="R33" i="37"/>
  <c r="S33" i="37"/>
  <c r="R34" i="37"/>
  <c r="S34" i="37"/>
  <c r="R35" i="37"/>
  <c r="S35" i="37"/>
  <c r="R36" i="37"/>
  <c r="S36" i="37"/>
  <c r="R37" i="37"/>
  <c r="S37" i="37"/>
  <c r="R38" i="37"/>
  <c r="S38" i="37"/>
  <c r="S39" i="37"/>
  <c r="S40" i="37"/>
  <c r="R41" i="37"/>
  <c r="S41" i="37"/>
  <c r="R42" i="37"/>
  <c r="S42" i="37"/>
  <c r="R43" i="37"/>
  <c r="S43" i="37"/>
  <c r="R44" i="37"/>
  <c r="S44" i="37"/>
  <c r="R45" i="37"/>
  <c r="S45" i="37"/>
  <c r="R46" i="37"/>
  <c r="S46" i="37"/>
  <c r="R47" i="37"/>
  <c r="S47" i="37"/>
  <c r="S48" i="37"/>
  <c r="S49" i="37"/>
  <c r="R50" i="37"/>
  <c r="S50" i="37"/>
  <c r="R51" i="37"/>
  <c r="S51" i="37"/>
  <c r="V5" i="37"/>
  <c r="V6" i="37"/>
  <c r="C7" i="37"/>
  <c r="B7" i="37"/>
  <c r="V7" i="37"/>
  <c r="C8" i="37"/>
  <c r="B8" i="37"/>
  <c r="V8" i="37"/>
  <c r="V9" i="37"/>
  <c r="V10" i="37"/>
  <c r="B11" i="37"/>
  <c r="V11" i="37"/>
  <c r="V14" i="37"/>
  <c r="B15" i="37"/>
  <c r="V15" i="37"/>
  <c r="V16" i="37"/>
  <c r="B17" i="37"/>
  <c r="V17" i="37"/>
  <c r="B18" i="37"/>
  <c r="V18" i="37"/>
  <c r="B19" i="37"/>
  <c r="V19" i="37"/>
  <c r="B20" i="37"/>
  <c r="V20" i="37"/>
  <c r="V23" i="37"/>
  <c r="B24" i="37"/>
  <c r="V24" i="37"/>
  <c r="V25" i="37"/>
  <c r="V26" i="37"/>
  <c r="B27" i="37"/>
  <c r="V27" i="37"/>
  <c r="B28" i="37"/>
  <c r="V28" i="37"/>
  <c r="V29" i="37"/>
  <c r="V32" i="37"/>
  <c r="V33" i="37"/>
  <c r="V34" i="37"/>
  <c r="B35" i="37"/>
  <c r="V35" i="37"/>
  <c r="V36" i="37"/>
  <c r="B37" i="37"/>
  <c r="V37" i="37"/>
  <c r="B38" i="37"/>
  <c r="V38" i="37"/>
  <c r="V41" i="37"/>
  <c r="V42" i="37"/>
  <c r="V43" i="37"/>
  <c r="V44" i="37"/>
  <c r="V45" i="37"/>
  <c r="V46" i="37"/>
  <c r="V47" i="37"/>
  <c r="V50" i="37"/>
  <c r="V51" i="37"/>
  <c r="L40" i="37"/>
  <c r="AL39" i="16"/>
  <c r="R5" i="38"/>
  <c r="S5" i="38"/>
  <c r="R6" i="38"/>
  <c r="S6" i="38"/>
  <c r="R7" i="38"/>
  <c r="S7" i="38"/>
  <c r="R8" i="38"/>
  <c r="S8" i="38"/>
  <c r="R9" i="38"/>
  <c r="S9" i="38"/>
  <c r="R10" i="38"/>
  <c r="S10" i="38"/>
  <c r="R11" i="38"/>
  <c r="S11" i="38"/>
  <c r="S12" i="38"/>
  <c r="S13" i="38"/>
  <c r="R14" i="38"/>
  <c r="S14" i="38"/>
  <c r="R15" i="38"/>
  <c r="S15" i="38"/>
  <c r="R16" i="38"/>
  <c r="S16" i="38"/>
  <c r="R17" i="38"/>
  <c r="S17" i="38"/>
  <c r="R18" i="38"/>
  <c r="S18" i="38"/>
  <c r="R19" i="38"/>
  <c r="S19" i="38"/>
  <c r="R20" i="38"/>
  <c r="S20" i="38"/>
  <c r="S21" i="38"/>
  <c r="S22" i="38"/>
  <c r="R23" i="38"/>
  <c r="S23" i="38"/>
  <c r="R24" i="38"/>
  <c r="S24" i="38"/>
  <c r="S25" i="38"/>
  <c r="R26" i="38"/>
  <c r="S26" i="38"/>
  <c r="R27" i="38"/>
  <c r="S27" i="38"/>
  <c r="R28" i="38"/>
  <c r="S28" i="38"/>
  <c r="R29" i="38"/>
  <c r="S29" i="38"/>
  <c r="S30" i="38"/>
  <c r="S31" i="38"/>
  <c r="R32" i="38"/>
  <c r="S32" i="38"/>
  <c r="R33" i="38"/>
  <c r="S33" i="38"/>
  <c r="R34" i="38"/>
  <c r="S34" i="38"/>
  <c r="R35" i="38"/>
  <c r="S35" i="38"/>
  <c r="R36" i="38"/>
  <c r="S36" i="38"/>
  <c r="R37" i="38"/>
  <c r="S37" i="38"/>
  <c r="R38" i="38"/>
  <c r="S38" i="38"/>
  <c r="S39" i="38"/>
  <c r="S40" i="38"/>
  <c r="R41" i="38"/>
  <c r="S41" i="38"/>
  <c r="R42" i="38"/>
  <c r="S42" i="38"/>
  <c r="R43" i="38"/>
  <c r="S43" i="38"/>
  <c r="R44" i="38"/>
  <c r="S44" i="38"/>
  <c r="R45" i="38"/>
  <c r="S45" i="38"/>
  <c r="R46" i="38"/>
  <c r="S46" i="38"/>
  <c r="R47" i="38"/>
  <c r="S47" i="38"/>
  <c r="S48" i="38"/>
  <c r="S49" i="38"/>
  <c r="R50" i="38"/>
  <c r="S50" i="38"/>
  <c r="R51" i="38"/>
  <c r="S51" i="38"/>
  <c r="V5" i="38"/>
  <c r="V6" i="38"/>
  <c r="V7" i="38"/>
  <c r="C8" i="38"/>
  <c r="B8" i="38"/>
  <c r="V8" i="38"/>
  <c r="V9" i="38"/>
  <c r="B10" i="38"/>
  <c r="V10" i="38"/>
  <c r="B11" i="38"/>
  <c r="V11" i="38"/>
  <c r="V14" i="38"/>
  <c r="V15" i="38"/>
  <c r="V16" i="38"/>
  <c r="B17" i="38"/>
  <c r="V17" i="38"/>
  <c r="V18" i="38"/>
  <c r="B19" i="38"/>
  <c r="V19" i="38"/>
  <c r="V20" i="38"/>
  <c r="V23" i="38"/>
  <c r="V24" i="38"/>
  <c r="B25" i="38"/>
  <c r="V25" i="38"/>
  <c r="B26" i="38"/>
  <c r="V26" i="38"/>
  <c r="V27" i="38"/>
  <c r="B28" i="38"/>
  <c r="V28" i="38"/>
  <c r="V29" i="38"/>
  <c r="V32" i="38"/>
  <c r="V33" i="38"/>
  <c r="V34" i="38"/>
  <c r="B35" i="38"/>
  <c r="V35" i="38"/>
  <c r="B36" i="38"/>
  <c r="V36" i="38"/>
  <c r="B37" i="38"/>
  <c r="V37" i="38"/>
  <c r="B38" i="38"/>
  <c r="V38" i="38"/>
  <c r="V41" i="38"/>
  <c r="V42" i="38"/>
  <c r="V43" i="38"/>
  <c r="V44" i="38"/>
  <c r="V45" i="38"/>
  <c r="V46" i="38"/>
  <c r="V47" i="38"/>
  <c r="V50" i="38"/>
  <c r="V51" i="38"/>
  <c r="L40" i="38"/>
  <c r="AL40" i="16"/>
  <c r="R5" i="39"/>
  <c r="S5" i="39"/>
  <c r="R6" i="39"/>
  <c r="S6" i="39"/>
  <c r="R7" i="39"/>
  <c r="S7" i="39"/>
  <c r="R8" i="39"/>
  <c r="S8" i="39"/>
  <c r="R9" i="39"/>
  <c r="S9" i="39"/>
  <c r="R10" i="39"/>
  <c r="S10" i="39"/>
  <c r="R11" i="39"/>
  <c r="S11" i="39"/>
  <c r="S12" i="39"/>
  <c r="S13" i="39"/>
  <c r="R14" i="39"/>
  <c r="S14" i="39"/>
  <c r="R15" i="39"/>
  <c r="S15" i="39"/>
  <c r="R16" i="39"/>
  <c r="S16" i="39"/>
  <c r="R17" i="39"/>
  <c r="S17" i="39"/>
  <c r="R18" i="39"/>
  <c r="S18" i="39"/>
  <c r="R19" i="39"/>
  <c r="S19" i="39"/>
  <c r="R20" i="39"/>
  <c r="S20" i="39"/>
  <c r="S21" i="39"/>
  <c r="S22" i="39"/>
  <c r="R23" i="39"/>
  <c r="S23" i="39"/>
  <c r="R24" i="39"/>
  <c r="S24" i="39"/>
  <c r="S25" i="39"/>
  <c r="R26" i="39"/>
  <c r="S26" i="39"/>
  <c r="R27" i="39"/>
  <c r="S27" i="39"/>
  <c r="R28" i="39"/>
  <c r="S28" i="39"/>
  <c r="R29" i="39"/>
  <c r="S29" i="39"/>
  <c r="S30" i="39"/>
  <c r="S31" i="39"/>
  <c r="R32" i="39"/>
  <c r="S32" i="39"/>
  <c r="R33" i="39"/>
  <c r="S33" i="39"/>
  <c r="R34" i="39"/>
  <c r="S34" i="39"/>
  <c r="R35" i="39"/>
  <c r="S35" i="39"/>
  <c r="R36" i="39"/>
  <c r="S36" i="39"/>
  <c r="R37" i="39"/>
  <c r="S37" i="39"/>
  <c r="R38" i="39"/>
  <c r="S38" i="39"/>
  <c r="S39" i="39"/>
  <c r="S40" i="39"/>
  <c r="R41" i="39"/>
  <c r="S41" i="39"/>
  <c r="R42" i="39"/>
  <c r="S42" i="39"/>
  <c r="R43" i="39"/>
  <c r="S43" i="39"/>
  <c r="R44" i="39"/>
  <c r="S44" i="39"/>
  <c r="R45" i="39"/>
  <c r="S45" i="39"/>
  <c r="R46" i="39"/>
  <c r="S46" i="39"/>
  <c r="R47" i="39"/>
  <c r="S47" i="39"/>
  <c r="S48" i="39"/>
  <c r="S49" i="39"/>
  <c r="R50" i="39"/>
  <c r="S50" i="39"/>
  <c r="R51" i="39"/>
  <c r="S51" i="39"/>
  <c r="V5" i="39"/>
  <c r="V6" i="39"/>
  <c r="V7" i="39"/>
  <c r="V8" i="39"/>
  <c r="C9" i="39"/>
  <c r="B9" i="39"/>
  <c r="V9" i="39"/>
  <c r="V10" i="39"/>
  <c r="B11" i="39"/>
  <c r="V11" i="39"/>
  <c r="V14" i="39"/>
  <c r="V15" i="39"/>
  <c r="B16" i="39"/>
  <c r="V16" i="39"/>
  <c r="B17" i="39"/>
  <c r="V17" i="39"/>
  <c r="V18" i="39"/>
  <c r="B19" i="39"/>
  <c r="V19" i="39"/>
  <c r="B20" i="39"/>
  <c r="V20" i="39"/>
  <c r="V23" i="39"/>
  <c r="V24" i="39"/>
  <c r="B25" i="39"/>
  <c r="V25" i="39"/>
  <c r="B26" i="39"/>
  <c r="V26" i="39"/>
  <c r="B27" i="39"/>
  <c r="V27" i="39"/>
  <c r="B28" i="39"/>
  <c r="V28" i="39"/>
  <c r="B29" i="39"/>
  <c r="V29" i="39"/>
  <c r="V32" i="39"/>
  <c r="V33" i="39"/>
  <c r="B34" i="39"/>
  <c r="V34" i="39"/>
  <c r="B35" i="39"/>
  <c r="V35" i="39"/>
  <c r="V36" i="39"/>
  <c r="B37" i="39"/>
  <c r="V37" i="39"/>
  <c r="B38" i="39"/>
  <c r="V38" i="39"/>
  <c r="V41" i="39"/>
  <c r="V42" i="39"/>
  <c r="V43" i="39"/>
  <c r="V44" i="39"/>
  <c r="V45" i="39"/>
  <c r="V46" i="39"/>
  <c r="V47" i="39"/>
  <c r="V50" i="39"/>
  <c r="V51" i="39"/>
  <c r="L40" i="39"/>
  <c r="AL41" i="16"/>
  <c r="R5" i="40"/>
  <c r="S5" i="40"/>
  <c r="R6" i="40"/>
  <c r="S6" i="40"/>
  <c r="R7" i="40"/>
  <c r="S7" i="40"/>
  <c r="R8" i="40"/>
  <c r="S8" i="40"/>
  <c r="R9" i="40"/>
  <c r="S9" i="40"/>
  <c r="R10" i="40"/>
  <c r="S10" i="40"/>
  <c r="R11" i="40"/>
  <c r="S11" i="40"/>
  <c r="S12" i="40"/>
  <c r="S13" i="40"/>
  <c r="R14" i="40"/>
  <c r="S14" i="40"/>
  <c r="R15" i="40"/>
  <c r="S15" i="40"/>
  <c r="R16" i="40"/>
  <c r="S16" i="40"/>
  <c r="R17" i="40"/>
  <c r="S17" i="40"/>
  <c r="R18" i="40"/>
  <c r="S18" i="40"/>
  <c r="R19" i="40"/>
  <c r="S19" i="40"/>
  <c r="R20" i="40"/>
  <c r="S20" i="40"/>
  <c r="S21" i="40"/>
  <c r="S22" i="40"/>
  <c r="R23" i="40"/>
  <c r="S23" i="40"/>
  <c r="R24" i="40"/>
  <c r="S24" i="40"/>
  <c r="S25" i="40"/>
  <c r="R26" i="40"/>
  <c r="S26" i="40"/>
  <c r="R27" i="40"/>
  <c r="S27" i="40"/>
  <c r="R28" i="40"/>
  <c r="S28" i="40"/>
  <c r="R29" i="40"/>
  <c r="S29" i="40"/>
  <c r="S30" i="40"/>
  <c r="S31" i="40"/>
  <c r="R32" i="40"/>
  <c r="S32" i="40"/>
  <c r="R33" i="40"/>
  <c r="S33" i="40"/>
  <c r="R34" i="40"/>
  <c r="S34" i="40"/>
  <c r="R35" i="40"/>
  <c r="S35" i="40"/>
  <c r="R36" i="40"/>
  <c r="S36" i="40"/>
  <c r="R37" i="40"/>
  <c r="S37" i="40"/>
  <c r="R38" i="40"/>
  <c r="S38" i="40"/>
  <c r="S39" i="40"/>
  <c r="S40" i="40"/>
  <c r="R41" i="40"/>
  <c r="S41" i="40"/>
  <c r="R42" i="40"/>
  <c r="S42" i="40"/>
  <c r="R43" i="40"/>
  <c r="S43" i="40"/>
  <c r="R44" i="40"/>
  <c r="S44" i="40"/>
  <c r="R45" i="40"/>
  <c r="S45" i="40"/>
  <c r="R46" i="40"/>
  <c r="S46" i="40"/>
  <c r="R47" i="40"/>
  <c r="S47" i="40"/>
  <c r="S48" i="40"/>
  <c r="S49" i="40"/>
  <c r="R50" i="40"/>
  <c r="S50" i="40"/>
  <c r="R51" i="40"/>
  <c r="S51" i="40"/>
  <c r="C5" i="40"/>
  <c r="B5" i="40"/>
  <c r="V5" i="40"/>
  <c r="C6" i="40"/>
  <c r="B6" i="40"/>
  <c r="V6" i="40"/>
  <c r="C7" i="40"/>
  <c r="B7" i="40"/>
  <c r="V7" i="40"/>
  <c r="C8" i="40"/>
  <c r="B8" i="40"/>
  <c r="V8" i="40"/>
  <c r="V9" i="40"/>
  <c r="B10" i="40"/>
  <c r="V10" i="40"/>
  <c r="B11" i="40"/>
  <c r="V11" i="40"/>
  <c r="V14" i="40"/>
  <c r="B15" i="40"/>
  <c r="V15" i="40"/>
  <c r="V16" i="40"/>
  <c r="B17" i="40"/>
  <c r="V17" i="40"/>
  <c r="B18" i="40"/>
  <c r="V18" i="40"/>
  <c r="B19" i="40"/>
  <c r="V19" i="40"/>
  <c r="V20" i="40"/>
  <c r="V23" i="40"/>
  <c r="B24" i="40"/>
  <c r="V24" i="40"/>
  <c r="B25" i="40"/>
  <c r="V25" i="40"/>
  <c r="B26" i="40"/>
  <c r="V26" i="40"/>
  <c r="V27" i="40"/>
  <c r="B28" i="40"/>
  <c r="V28" i="40"/>
  <c r="V29" i="40"/>
  <c r="V32" i="40"/>
  <c r="B33" i="40"/>
  <c r="V33" i="40"/>
  <c r="B34" i="40"/>
  <c r="V34" i="40"/>
  <c r="B35" i="40"/>
  <c r="V35" i="40"/>
  <c r="B36" i="40"/>
  <c r="V36" i="40"/>
  <c r="V37" i="40"/>
  <c r="B38" i="40"/>
  <c r="V38" i="40"/>
  <c r="V41" i="40"/>
  <c r="V42" i="40"/>
  <c r="V43" i="40"/>
  <c r="V44" i="40"/>
  <c r="V45" i="40"/>
  <c r="V46" i="40"/>
  <c r="V47" i="40"/>
  <c r="V50" i="40"/>
  <c r="V51" i="40"/>
  <c r="L40" i="40"/>
  <c r="AL42" i="16"/>
  <c r="R5" i="41"/>
  <c r="S5" i="41"/>
  <c r="R6" i="41"/>
  <c r="S6" i="41"/>
  <c r="R7" i="41"/>
  <c r="S7" i="41"/>
  <c r="R8" i="41"/>
  <c r="S8" i="41"/>
  <c r="R9" i="41"/>
  <c r="S9" i="41"/>
  <c r="R10" i="41"/>
  <c r="S10" i="41"/>
  <c r="R11" i="41"/>
  <c r="S11" i="41"/>
  <c r="S12" i="41"/>
  <c r="S13" i="41"/>
  <c r="R14" i="41"/>
  <c r="S14" i="41"/>
  <c r="R15" i="41"/>
  <c r="S15" i="41"/>
  <c r="R16" i="41"/>
  <c r="S16" i="41"/>
  <c r="R17" i="41"/>
  <c r="S17" i="41"/>
  <c r="R18" i="41"/>
  <c r="S18" i="41"/>
  <c r="R19" i="41"/>
  <c r="S19" i="41"/>
  <c r="R20" i="41"/>
  <c r="S20" i="41"/>
  <c r="S21" i="41"/>
  <c r="S22" i="41"/>
  <c r="R23" i="41"/>
  <c r="S23" i="41"/>
  <c r="R24" i="41"/>
  <c r="S24" i="41"/>
  <c r="S25" i="41"/>
  <c r="R26" i="41"/>
  <c r="S26" i="41"/>
  <c r="R27" i="41"/>
  <c r="S27" i="41"/>
  <c r="R28" i="41"/>
  <c r="S28" i="41"/>
  <c r="R29" i="41"/>
  <c r="S29" i="41"/>
  <c r="S30" i="41"/>
  <c r="S31" i="41"/>
  <c r="R32" i="41"/>
  <c r="S32" i="41"/>
  <c r="R33" i="41"/>
  <c r="S33" i="41"/>
  <c r="R34" i="41"/>
  <c r="S34" i="41"/>
  <c r="R35" i="41"/>
  <c r="S35" i="41"/>
  <c r="R36" i="41"/>
  <c r="S36" i="41"/>
  <c r="R37" i="41"/>
  <c r="S37" i="41"/>
  <c r="R38" i="41"/>
  <c r="S38" i="41"/>
  <c r="S39" i="41"/>
  <c r="S40" i="41"/>
  <c r="R41" i="41"/>
  <c r="S41" i="41"/>
  <c r="R42" i="41"/>
  <c r="S42" i="41"/>
  <c r="R43" i="41"/>
  <c r="S43" i="41"/>
  <c r="R44" i="41"/>
  <c r="S44" i="41"/>
  <c r="R45" i="41"/>
  <c r="S45" i="41"/>
  <c r="R46" i="41"/>
  <c r="S46" i="41"/>
  <c r="R47" i="41"/>
  <c r="S47" i="41"/>
  <c r="S48" i="41"/>
  <c r="S49" i="41"/>
  <c r="R50" i="41"/>
  <c r="S50" i="41"/>
  <c r="R51" i="41"/>
  <c r="S51" i="41"/>
  <c r="V5" i="41"/>
  <c r="V6" i="41"/>
  <c r="V7" i="41"/>
  <c r="C8" i="41"/>
  <c r="B8" i="41"/>
  <c r="V8" i="41"/>
  <c r="V9" i="41"/>
  <c r="V10" i="41"/>
  <c r="V11" i="41"/>
  <c r="V14" i="41"/>
  <c r="B15" i="41"/>
  <c r="V15" i="41"/>
  <c r="B16" i="41"/>
  <c r="V16" i="41"/>
  <c r="B17" i="41"/>
  <c r="V17" i="41"/>
  <c r="V18" i="41"/>
  <c r="V19" i="41"/>
  <c r="B20" i="41"/>
  <c r="V20" i="41"/>
  <c r="V23" i="41"/>
  <c r="V24" i="41"/>
  <c r="V25" i="41"/>
  <c r="V26" i="41"/>
  <c r="B27" i="41"/>
  <c r="V27" i="41"/>
  <c r="V28" i="41"/>
  <c r="B29" i="41"/>
  <c r="V29" i="41"/>
  <c r="V32" i="41"/>
  <c r="B33" i="41"/>
  <c r="V33" i="41"/>
  <c r="V34" i="41"/>
  <c r="V35" i="41"/>
  <c r="V36" i="41"/>
  <c r="B37" i="41"/>
  <c r="V37" i="41"/>
  <c r="V38" i="41"/>
  <c r="V41" i="41"/>
  <c r="V42" i="41"/>
  <c r="V43" i="41"/>
  <c r="V44" i="41"/>
  <c r="V45" i="41"/>
  <c r="V46" i="41"/>
  <c r="V47" i="41"/>
  <c r="V50" i="41"/>
  <c r="V51" i="41"/>
  <c r="L40" i="41"/>
  <c r="AL43" i="16"/>
  <c r="AL45" i="16"/>
  <c r="AE20" i="16"/>
  <c r="N2" i="16"/>
  <c r="J43" i="16"/>
  <c r="D10" i="16"/>
  <c r="D8" i="16"/>
  <c r="M51" i="41"/>
  <c r="K51" i="41"/>
  <c r="M50" i="41"/>
  <c r="K50" i="41"/>
  <c r="N49" i="41"/>
  <c r="N48" i="41"/>
  <c r="M47" i="41"/>
  <c r="K47" i="41"/>
  <c r="M46" i="41"/>
  <c r="K46" i="41"/>
  <c r="M45" i="41"/>
  <c r="K45" i="41"/>
  <c r="M44" i="41"/>
  <c r="K44" i="41"/>
  <c r="M43" i="41"/>
  <c r="K43" i="41"/>
  <c r="M42" i="41"/>
  <c r="K42" i="41"/>
  <c r="M41" i="41"/>
  <c r="K41" i="41"/>
  <c r="M38" i="41"/>
  <c r="K38" i="41"/>
  <c r="M37" i="41"/>
  <c r="K37" i="41"/>
  <c r="M36" i="41"/>
  <c r="K36" i="41"/>
  <c r="M35" i="41"/>
  <c r="K35" i="41"/>
  <c r="M34" i="41"/>
  <c r="K34" i="41"/>
  <c r="M33" i="41"/>
  <c r="K33" i="41"/>
  <c r="M32" i="41"/>
  <c r="K32" i="41"/>
  <c r="N30" i="41"/>
  <c r="M29" i="41"/>
  <c r="K29" i="41"/>
  <c r="M28" i="41"/>
  <c r="K28" i="41"/>
  <c r="M27" i="41"/>
  <c r="K27" i="41"/>
  <c r="M26" i="41"/>
  <c r="K26" i="41"/>
  <c r="K25" i="41"/>
  <c r="M24" i="41"/>
  <c r="K24" i="41"/>
  <c r="M23" i="41"/>
  <c r="K23" i="41"/>
  <c r="J21" i="41"/>
  <c r="M20" i="41"/>
  <c r="K20" i="41"/>
  <c r="M19" i="41"/>
  <c r="K19" i="41"/>
  <c r="M18" i="41"/>
  <c r="K18" i="41"/>
  <c r="M17" i="41"/>
  <c r="K17" i="41"/>
  <c r="M16" i="41"/>
  <c r="K16" i="41"/>
  <c r="M15" i="41"/>
  <c r="K15" i="41"/>
  <c r="M14" i="41"/>
  <c r="K14" i="41"/>
  <c r="N13" i="41"/>
  <c r="N12" i="41"/>
  <c r="M11" i="41"/>
  <c r="K11" i="41"/>
  <c r="M10" i="41"/>
  <c r="K10" i="41"/>
  <c r="M9" i="41"/>
  <c r="K9" i="41"/>
  <c r="M8" i="41"/>
  <c r="K8" i="41"/>
  <c r="M7" i="41"/>
  <c r="K7" i="41"/>
  <c r="M6" i="41"/>
  <c r="K6" i="41"/>
  <c r="M5" i="41"/>
  <c r="K5" i="41"/>
  <c r="M51" i="40"/>
  <c r="K51" i="40"/>
  <c r="M50" i="40"/>
  <c r="K50" i="40"/>
  <c r="N49" i="40"/>
  <c r="N48" i="40"/>
  <c r="M47" i="40"/>
  <c r="K47" i="40"/>
  <c r="M46" i="40"/>
  <c r="K46" i="40"/>
  <c r="M45" i="40"/>
  <c r="K45" i="40"/>
  <c r="M44" i="40"/>
  <c r="K44" i="40"/>
  <c r="M43" i="40"/>
  <c r="K43" i="40"/>
  <c r="M42" i="40"/>
  <c r="K42" i="40"/>
  <c r="M41" i="40"/>
  <c r="K41" i="40"/>
  <c r="M38" i="40"/>
  <c r="K38" i="40"/>
  <c r="M37" i="40"/>
  <c r="K37" i="40"/>
  <c r="M36" i="40"/>
  <c r="K36" i="40"/>
  <c r="M35" i="40"/>
  <c r="K35" i="40"/>
  <c r="M34" i="40"/>
  <c r="K34" i="40"/>
  <c r="M33" i="40"/>
  <c r="K33" i="40"/>
  <c r="M32" i="40"/>
  <c r="K32" i="40"/>
  <c r="N30" i="40"/>
  <c r="M29" i="40"/>
  <c r="K29" i="40"/>
  <c r="M28" i="40"/>
  <c r="K28" i="40"/>
  <c r="M27" i="40"/>
  <c r="K27" i="40"/>
  <c r="M26" i="40"/>
  <c r="K26" i="40"/>
  <c r="K25" i="40"/>
  <c r="M24" i="40"/>
  <c r="K24" i="40"/>
  <c r="M23" i="40"/>
  <c r="K23" i="40"/>
  <c r="J21" i="40"/>
  <c r="M20" i="40"/>
  <c r="K20" i="40"/>
  <c r="M19" i="40"/>
  <c r="K19" i="40"/>
  <c r="M18" i="40"/>
  <c r="K18" i="40"/>
  <c r="M17" i="40"/>
  <c r="K17" i="40"/>
  <c r="M16" i="40"/>
  <c r="K16" i="40"/>
  <c r="M15" i="40"/>
  <c r="K15" i="40"/>
  <c r="M14" i="40"/>
  <c r="K14" i="40"/>
  <c r="N13" i="40"/>
  <c r="N12" i="40"/>
  <c r="M11" i="40"/>
  <c r="K11" i="40"/>
  <c r="M10" i="40"/>
  <c r="K10" i="40"/>
  <c r="M9" i="40"/>
  <c r="K9" i="40"/>
  <c r="M8" i="40"/>
  <c r="K8" i="40"/>
  <c r="M7" i="40"/>
  <c r="K7" i="40"/>
  <c r="M6" i="40"/>
  <c r="K6" i="40"/>
  <c r="M5" i="40"/>
  <c r="K5" i="40"/>
  <c r="M51" i="39"/>
  <c r="K51" i="39"/>
  <c r="M50" i="39"/>
  <c r="K50" i="39"/>
  <c r="N49" i="39"/>
  <c r="N48" i="39"/>
  <c r="M47" i="39"/>
  <c r="K47" i="39"/>
  <c r="M46" i="39"/>
  <c r="K46" i="39"/>
  <c r="M45" i="39"/>
  <c r="K45" i="39"/>
  <c r="M44" i="39"/>
  <c r="K44" i="39"/>
  <c r="M43" i="39"/>
  <c r="K43" i="39"/>
  <c r="M42" i="39"/>
  <c r="K42" i="39"/>
  <c r="M41" i="39"/>
  <c r="K41" i="39"/>
  <c r="M38" i="39"/>
  <c r="K38" i="39"/>
  <c r="M37" i="39"/>
  <c r="K37" i="39"/>
  <c r="M36" i="39"/>
  <c r="K36" i="39"/>
  <c r="M35" i="39"/>
  <c r="K35" i="39"/>
  <c r="M34" i="39"/>
  <c r="K34" i="39"/>
  <c r="M33" i="39"/>
  <c r="K33" i="39"/>
  <c r="M32" i="39"/>
  <c r="K32" i="39"/>
  <c r="N30" i="39"/>
  <c r="M29" i="39"/>
  <c r="K29" i="39"/>
  <c r="M28" i="39"/>
  <c r="K28" i="39"/>
  <c r="M27" i="39"/>
  <c r="K27" i="39"/>
  <c r="M26" i="39"/>
  <c r="K26" i="39"/>
  <c r="K25" i="39"/>
  <c r="M24" i="39"/>
  <c r="K24" i="39"/>
  <c r="M23" i="39"/>
  <c r="K23" i="39"/>
  <c r="J21" i="39"/>
  <c r="M20" i="39"/>
  <c r="K20" i="39"/>
  <c r="M19" i="39"/>
  <c r="K19" i="39"/>
  <c r="M18" i="39"/>
  <c r="K18" i="39"/>
  <c r="M17" i="39"/>
  <c r="K17" i="39"/>
  <c r="M16" i="39"/>
  <c r="K16" i="39"/>
  <c r="M15" i="39"/>
  <c r="K15" i="39"/>
  <c r="M14" i="39"/>
  <c r="K14" i="39"/>
  <c r="N13" i="39"/>
  <c r="N12" i="39"/>
  <c r="M11" i="39"/>
  <c r="K11" i="39"/>
  <c r="M10" i="39"/>
  <c r="K10" i="39"/>
  <c r="M9" i="39"/>
  <c r="K9" i="39"/>
  <c r="M8" i="39"/>
  <c r="K8" i="39"/>
  <c r="M7" i="39"/>
  <c r="K7" i="39"/>
  <c r="M6" i="39"/>
  <c r="K6" i="39"/>
  <c r="M5" i="39"/>
  <c r="K5" i="39"/>
  <c r="M51" i="38"/>
  <c r="K51" i="38"/>
  <c r="M50" i="38"/>
  <c r="K50" i="38"/>
  <c r="N49" i="38"/>
  <c r="N48" i="38"/>
  <c r="M47" i="38"/>
  <c r="K47" i="38"/>
  <c r="M46" i="38"/>
  <c r="K46" i="38"/>
  <c r="M45" i="38"/>
  <c r="K45" i="38"/>
  <c r="M44" i="38"/>
  <c r="K44" i="38"/>
  <c r="M43" i="38"/>
  <c r="K43" i="38"/>
  <c r="M42" i="38"/>
  <c r="K42" i="38"/>
  <c r="M41" i="38"/>
  <c r="K41" i="38"/>
  <c r="M38" i="38"/>
  <c r="K38" i="38"/>
  <c r="M37" i="38"/>
  <c r="K37" i="38"/>
  <c r="M36" i="38"/>
  <c r="K36" i="38"/>
  <c r="M35" i="38"/>
  <c r="K35" i="38"/>
  <c r="M34" i="38"/>
  <c r="K34" i="38"/>
  <c r="M33" i="38"/>
  <c r="K33" i="38"/>
  <c r="M32" i="38"/>
  <c r="K32" i="38"/>
  <c r="N30" i="38"/>
  <c r="M29" i="38"/>
  <c r="K29" i="38"/>
  <c r="M28" i="38"/>
  <c r="K28" i="38"/>
  <c r="M27" i="38"/>
  <c r="K27" i="38"/>
  <c r="M26" i="38"/>
  <c r="K26" i="38"/>
  <c r="K25" i="38"/>
  <c r="M24" i="38"/>
  <c r="K24" i="38"/>
  <c r="M23" i="38"/>
  <c r="K23" i="38"/>
  <c r="J21" i="38"/>
  <c r="M20" i="38"/>
  <c r="K20" i="38"/>
  <c r="M19" i="38"/>
  <c r="K19" i="38"/>
  <c r="M18" i="38"/>
  <c r="K18" i="38"/>
  <c r="M17" i="38"/>
  <c r="K17" i="38"/>
  <c r="M16" i="38"/>
  <c r="K16" i="38"/>
  <c r="M15" i="38"/>
  <c r="K15" i="38"/>
  <c r="M14" i="38"/>
  <c r="K14" i="38"/>
  <c r="N13" i="38"/>
  <c r="N12" i="38"/>
  <c r="M11" i="38"/>
  <c r="K11" i="38"/>
  <c r="M10" i="38"/>
  <c r="K10" i="38"/>
  <c r="M9" i="38"/>
  <c r="K9" i="38"/>
  <c r="M8" i="38"/>
  <c r="K8" i="38"/>
  <c r="M7" i="38"/>
  <c r="K7" i="38"/>
  <c r="M6" i="38"/>
  <c r="K6" i="38"/>
  <c r="M5" i="38"/>
  <c r="K5" i="38"/>
  <c r="M51" i="37"/>
  <c r="K51" i="37"/>
  <c r="M50" i="37"/>
  <c r="K50" i="37"/>
  <c r="N49" i="37"/>
  <c r="N48" i="37"/>
  <c r="M47" i="37"/>
  <c r="K47" i="37"/>
  <c r="M46" i="37"/>
  <c r="K46" i="37"/>
  <c r="M45" i="37"/>
  <c r="K45" i="37"/>
  <c r="M44" i="37"/>
  <c r="K44" i="37"/>
  <c r="M43" i="37"/>
  <c r="K43" i="37"/>
  <c r="M42" i="37"/>
  <c r="K42" i="37"/>
  <c r="M41" i="37"/>
  <c r="K41" i="37"/>
  <c r="M38" i="37"/>
  <c r="K38" i="37"/>
  <c r="M37" i="37"/>
  <c r="K37" i="37"/>
  <c r="M36" i="37"/>
  <c r="K36" i="37"/>
  <c r="M35" i="37"/>
  <c r="K35" i="37"/>
  <c r="M34" i="37"/>
  <c r="K34" i="37"/>
  <c r="M33" i="37"/>
  <c r="K33" i="37"/>
  <c r="M32" i="37"/>
  <c r="K32" i="37"/>
  <c r="N30" i="37"/>
  <c r="M29" i="37"/>
  <c r="K29" i="37"/>
  <c r="M28" i="37"/>
  <c r="K28" i="37"/>
  <c r="M27" i="37"/>
  <c r="K27" i="37"/>
  <c r="M26" i="37"/>
  <c r="K26" i="37"/>
  <c r="K25" i="37"/>
  <c r="M24" i="37"/>
  <c r="K24" i="37"/>
  <c r="M23" i="37"/>
  <c r="K23" i="37"/>
  <c r="J21" i="37"/>
  <c r="M20" i="37"/>
  <c r="K20" i="37"/>
  <c r="M19" i="37"/>
  <c r="K19" i="37"/>
  <c r="M18" i="37"/>
  <c r="K18" i="37"/>
  <c r="M17" i="37"/>
  <c r="K17" i="37"/>
  <c r="M16" i="37"/>
  <c r="K16" i="37"/>
  <c r="M15" i="37"/>
  <c r="K15" i="37"/>
  <c r="M14" i="37"/>
  <c r="K14" i="37"/>
  <c r="N13" i="37"/>
  <c r="N12" i="37"/>
  <c r="M11" i="37"/>
  <c r="K11" i="37"/>
  <c r="M10" i="37"/>
  <c r="K10" i="37"/>
  <c r="M9" i="37"/>
  <c r="K9" i="37"/>
  <c r="M8" i="37"/>
  <c r="K8" i="37"/>
  <c r="M7" i="37"/>
  <c r="K7" i="37"/>
  <c r="M6" i="37"/>
  <c r="K6" i="37"/>
  <c r="M5" i="37"/>
  <c r="K5" i="37"/>
  <c r="M51" i="36"/>
  <c r="K51" i="36"/>
  <c r="M50" i="36"/>
  <c r="K50" i="36"/>
  <c r="N49" i="36"/>
  <c r="N48" i="36"/>
  <c r="M47" i="36"/>
  <c r="K47" i="36"/>
  <c r="M46" i="36"/>
  <c r="K46" i="36"/>
  <c r="M45" i="36"/>
  <c r="K45" i="36"/>
  <c r="M44" i="36"/>
  <c r="K44" i="36"/>
  <c r="M43" i="36"/>
  <c r="K43" i="36"/>
  <c r="M42" i="36"/>
  <c r="K42" i="36"/>
  <c r="M41" i="36"/>
  <c r="K41" i="36"/>
  <c r="M38" i="36"/>
  <c r="K38" i="36"/>
  <c r="M37" i="36"/>
  <c r="K37" i="36"/>
  <c r="M36" i="36"/>
  <c r="K36" i="36"/>
  <c r="M35" i="36"/>
  <c r="M34" i="36"/>
  <c r="M33" i="36"/>
  <c r="M32" i="36"/>
  <c r="N30" i="36"/>
  <c r="M29" i="36"/>
  <c r="M28" i="36"/>
  <c r="M27" i="36"/>
  <c r="M26" i="36"/>
  <c r="M24" i="36"/>
  <c r="M23" i="36"/>
  <c r="J21" i="36"/>
  <c r="M20" i="36"/>
  <c r="M19" i="36"/>
  <c r="M18" i="36"/>
  <c r="M17" i="36"/>
  <c r="M16" i="36"/>
  <c r="M15" i="36"/>
  <c r="M14" i="36"/>
  <c r="N13" i="36"/>
  <c r="N12" i="36"/>
  <c r="M11" i="36"/>
  <c r="K11" i="36"/>
  <c r="M10" i="36"/>
  <c r="K10" i="36"/>
  <c r="M9" i="36"/>
  <c r="K9" i="36"/>
  <c r="M8" i="36"/>
  <c r="K8" i="36"/>
  <c r="M7" i="36"/>
  <c r="K7" i="36"/>
  <c r="M6" i="36"/>
  <c r="K6" i="36"/>
  <c r="M5" i="36"/>
  <c r="K5" i="36"/>
  <c r="N49" i="35"/>
  <c r="N48" i="35"/>
  <c r="N30" i="35"/>
  <c r="J21" i="35"/>
  <c r="N13" i="35"/>
  <c r="N12" i="35"/>
  <c r="N49" i="34"/>
  <c r="N48" i="34"/>
  <c r="N30" i="34"/>
  <c r="J21" i="34"/>
  <c r="N13" i="34"/>
  <c r="N12" i="34"/>
  <c r="M51" i="4"/>
  <c r="K51" i="4"/>
  <c r="M50" i="4"/>
  <c r="K50" i="4"/>
  <c r="N49" i="4"/>
  <c r="N48" i="4"/>
  <c r="M47" i="4"/>
  <c r="K47" i="4"/>
  <c r="M46" i="4"/>
  <c r="K46" i="4"/>
  <c r="M45" i="4"/>
  <c r="K45" i="4"/>
  <c r="M44" i="4"/>
  <c r="K44" i="4"/>
  <c r="M43" i="4"/>
  <c r="K43" i="4"/>
  <c r="M42" i="4"/>
  <c r="K42" i="4"/>
  <c r="M41" i="4"/>
  <c r="K41" i="4"/>
  <c r="M38" i="4"/>
  <c r="K38" i="4"/>
  <c r="M37" i="4"/>
  <c r="K37" i="4"/>
  <c r="M36" i="4"/>
  <c r="K36" i="4"/>
  <c r="M35" i="4"/>
  <c r="K35" i="4"/>
  <c r="M34" i="4"/>
  <c r="K34" i="4"/>
  <c r="M33" i="4"/>
  <c r="K33" i="4"/>
  <c r="M32" i="4"/>
  <c r="K32" i="4"/>
  <c r="N30" i="4"/>
  <c r="M29" i="4"/>
  <c r="K29" i="4"/>
  <c r="M28" i="4"/>
  <c r="K28" i="4"/>
  <c r="M27" i="4"/>
  <c r="K27" i="4"/>
  <c r="M26" i="4"/>
  <c r="K26" i="4"/>
  <c r="K25" i="4"/>
  <c r="M24" i="4"/>
  <c r="K24" i="4"/>
  <c r="M23" i="4"/>
  <c r="K23" i="4"/>
  <c r="J21" i="4"/>
  <c r="M20" i="4"/>
  <c r="K20" i="4"/>
  <c r="M19" i="4"/>
  <c r="K19" i="4"/>
  <c r="M18" i="4"/>
  <c r="K18" i="4"/>
  <c r="M17" i="4"/>
  <c r="K17" i="4"/>
  <c r="M16" i="4"/>
  <c r="K16" i="4"/>
  <c r="M15" i="4"/>
  <c r="K15" i="4"/>
  <c r="M14" i="4"/>
  <c r="K14" i="4"/>
  <c r="N13" i="4"/>
  <c r="N12" i="4"/>
  <c r="M11" i="4"/>
  <c r="K11" i="4"/>
  <c r="M10" i="4"/>
  <c r="K10" i="4"/>
  <c r="M9" i="4"/>
  <c r="K9" i="4"/>
  <c r="M8" i="4"/>
  <c r="K8" i="4"/>
  <c r="M7" i="4"/>
  <c r="K7" i="4"/>
  <c r="M6" i="4"/>
  <c r="K6" i="4"/>
  <c r="M5" i="4"/>
  <c r="K5" i="4"/>
  <c r="N49" i="31"/>
  <c r="N48" i="31"/>
  <c r="N30" i="31"/>
  <c r="N13" i="31"/>
  <c r="N12" i="31"/>
  <c r="N49" i="32"/>
  <c r="N48" i="32"/>
  <c r="N30" i="32"/>
  <c r="N13" i="32"/>
  <c r="N12" i="32"/>
  <c r="B10" i="37"/>
  <c r="B25" i="37"/>
  <c r="B29" i="37"/>
  <c r="B34" i="37"/>
  <c r="C9" i="38"/>
  <c r="B9" i="38"/>
  <c r="B33" i="38"/>
  <c r="C8" i="39"/>
  <c r="B8" i="39"/>
  <c r="B10" i="39"/>
  <c r="B16" i="40"/>
  <c r="C7" i="41"/>
  <c r="B7" i="41"/>
  <c r="C9" i="41"/>
  <c r="B9" i="41"/>
  <c r="B10" i="41"/>
  <c r="B11" i="41"/>
  <c r="B18" i="41"/>
  <c r="AJ20" i="16"/>
  <c r="AA7" i="4"/>
  <c r="AA6" i="4"/>
  <c r="AA9" i="4"/>
  <c r="AA8" i="4"/>
  <c r="AA24" i="4"/>
  <c r="AO20" i="16"/>
  <c r="D12" i="4"/>
  <c r="O12" i="4"/>
  <c r="Q12" i="4"/>
  <c r="AA12" i="4"/>
  <c r="D13" i="4"/>
  <c r="O13" i="4"/>
  <c r="Q13" i="4"/>
  <c r="AA13" i="4"/>
  <c r="W18" i="4"/>
  <c r="D21" i="4"/>
  <c r="O21" i="4"/>
  <c r="Q21" i="4"/>
  <c r="AA21" i="4"/>
  <c r="D22" i="4"/>
  <c r="O22" i="4"/>
  <c r="Q22" i="4"/>
  <c r="AA22" i="4"/>
  <c r="W23" i="4"/>
  <c r="AA23" i="4"/>
  <c r="D30" i="4"/>
  <c r="O30" i="4"/>
  <c r="Q30" i="4"/>
  <c r="AA30" i="4"/>
  <c r="D31" i="4"/>
  <c r="O31" i="4"/>
  <c r="Q31" i="4"/>
  <c r="AA31" i="4"/>
  <c r="W32" i="4"/>
  <c r="W33" i="4"/>
  <c r="D39" i="4"/>
  <c r="O39" i="4"/>
  <c r="Q39" i="4"/>
  <c r="AA39" i="4"/>
  <c r="D40" i="4"/>
  <c r="O40" i="4"/>
  <c r="Q40" i="4"/>
  <c r="AA40" i="4"/>
  <c r="D48" i="4"/>
  <c r="O48" i="4"/>
  <c r="Q48" i="4"/>
  <c r="Y48" i="4"/>
  <c r="Z48" i="4"/>
  <c r="D49" i="4"/>
  <c r="O49" i="4"/>
  <c r="Q49" i="4"/>
  <c r="Y49" i="4"/>
  <c r="Z49" i="4"/>
  <c r="N52" i="4"/>
  <c r="AA5" i="31"/>
  <c r="F3" i="33"/>
  <c r="D12" i="33"/>
  <c r="O12" i="33"/>
  <c r="D13" i="33"/>
  <c r="O13" i="33"/>
  <c r="D21" i="33"/>
  <c r="O21" i="33"/>
  <c r="D22" i="33"/>
  <c r="O22" i="33"/>
  <c r="D30" i="33"/>
  <c r="O30" i="33"/>
  <c r="D31" i="33"/>
  <c r="O31" i="33"/>
  <c r="D39" i="33"/>
  <c r="O39" i="33"/>
  <c r="D40" i="33"/>
  <c r="O40" i="33"/>
  <c r="D48" i="33"/>
  <c r="O48" i="33"/>
  <c r="Y48" i="33"/>
  <c r="Z48" i="33"/>
  <c r="D49" i="33"/>
  <c r="O49" i="33"/>
  <c r="Y49" i="33"/>
  <c r="Z49" i="33"/>
  <c r="J21" i="33"/>
  <c r="AA6" i="36"/>
  <c r="AA7" i="36"/>
  <c r="W8" i="36"/>
  <c r="AA8" i="36"/>
  <c r="AA9" i="36"/>
  <c r="AA10" i="36"/>
  <c r="D12" i="36"/>
  <c r="O12" i="36"/>
  <c r="D13" i="36"/>
  <c r="O13" i="36"/>
  <c r="AA15" i="36"/>
  <c r="AA16" i="36"/>
  <c r="AA17" i="36"/>
  <c r="AA18" i="36"/>
  <c r="AA19" i="36"/>
  <c r="D21" i="36"/>
  <c r="O21" i="36"/>
  <c r="D22" i="36"/>
  <c r="O22" i="36"/>
  <c r="AA23" i="36"/>
  <c r="AA24" i="36"/>
  <c r="AA25" i="36"/>
  <c r="AA26" i="36"/>
  <c r="AA27" i="36"/>
  <c r="AA28" i="36"/>
  <c r="D30" i="36"/>
  <c r="O30" i="36"/>
  <c r="D31" i="36"/>
  <c r="O31" i="36"/>
  <c r="AA32" i="36"/>
  <c r="AA35" i="36"/>
  <c r="AA36" i="36"/>
  <c r="W38" i="36"/>
  <c r="D39" i="36"/>
  <c r="O39" i="36"/>
  <c r="D40" i="36"/>
  <c r="O40" i="36"/>
  <c r="AA43" i="36"/>
  <c r="AA44" i="36"/>
  <c r="AA45" i="36"/>
  <c r="AA46" i="36"/>
  <c r="W47" i="36"/>
  <c r="D48" i="36"/>
  <c r="O48" i="36"/>
  <c r="Y48" i="36"/>
  <c r="Z48" i="36"/>
  <c r="D49" i="36"/>
  <c r="O49" i="36"/>
  <c r="Y49" i="36"/>
  <c r="Z49" i="36"/>
  <c r="G55" i="36"/>
  <c r="F55" i="36"/>
  <c r="AA5" i="36"/>
  <c r="AA8" i="37"/>
  <c r="AA9" i="37"/>
  <c r="AA10" i="37"/>
  <c r="D12" i="37"/>
  <c r="O12" i="37"/>
  <c r="D13" i="37"/>
  <c r="O13" i="37"/>
  <c r="AA14" i="37"/>
  <c r="AA15" i="37"/>
  <c r="AA19" i="37"/>
  <c r="D21" i="37"/>
  <c r="O21" i="37"/>
  <c r="D22" i="37"/>
  <c r="O22" i="37"/>
  <c r="AA23" i="37"/>
  <c r="W24" i="37"/>
  <c r="W28" i="37"/>
  <c r="D30" i="37"/>
  <c r="O30" i="37"/>
  <c r="D31" i="37"/>
  <c r="O31" i="37"/>
  <c r="W33" i="37"/>
  <c r="W37" i="37"/>
  <c r="D39" i="37"/>
  <c r="O39" i="37"/>
  <c r="D40" i="37"/>
  <c r="O40" i="37"/>
  <c r="W42" i="37"/>
  <c r="W46" i="37"/>
  <c r="D48" i="37"/>
  <c r="O48" i="37"/>
  <c r="Y48" i="37"/>
  <c r="Z48" i="37"/>
  <c r="D49" i="37"/>
  <c r="O49" i="37"/>
  <c r="Y49" i="37"/>
  <c r="Z49" i="37"/>
  <c r="W51" i="37"/>
  <c r="AA15" i="38"/>
  <c r="AA24" i="38"/>
  <c r="AA23" i="38"/>
  <c r="AA25" i="38"/>
  <c r="AA27" i="38"/>
  <c r="AA28" i="38"/>
  <c r="AA43" i="38"/>
  <c r="AA50" i="38"/>
  <c r="W5" i="39"/>
  <c r="W6" i="39"/>
  <c r="AA7" i="39"/>
  <c r="AA8" i="39"/>
  <c r="W9" i="39"/>
  <c r="AA9" i="39"/>
  <c r="AA10" i="39"/>
  <c r="D12" i="39"/>
  <c r="O12" i="39"/>
  <c r="D13" i="39"/>
  <c r="O13" i="39"/>
  <c r="W14" i="39"/>
  <c r="AA14" i="39"/>
  <c r="AA15" i="39"/>
  <c r="AA16" i="39"/>
  <c r="W18" i="39"/>
  <c r="AA18" i="39"/>
  <c r="AA19" i="39"/>
  <c r="D21" i="39"/>
  <c r="O21" i="39"/>
  <c r="D22" i="39"/>
  <c r="O22" i="39"/>
  <c r="W23" i="39"/>
  <c r="AA23" i="39"/>
  <c r="AA24" i="39"/>
  <c r="AA25" i="39"/>
  <c r="AA26" i="39"/>
  <c r="W27" i="39"/>
  <c r="D30" i="39"/>
  <c r="O30" i="39"/>
  <c r="D31" i="39"/>
  <c r="O31" i="39"/>
  <c r="W32" i="39"/>
  <c r="AA35" i="39"/>
  <c r="W36" i="39"/>
  <c r="D39" i="39"/>
  <c r="O39" i="39"/>
  <c r="D40" i="39"/>
  <c r="O40" i="39"/>
  <c r="W41" i="39"/>
  <c r="AA43" i="39"/>
  <c r="AA44" i="39"/>
  <c r="W45" i="39"/>
  <c r="AA45" i="39"/>
  <c r="D48" i="39"/>
  <c r="O48" i="39"/>
  <c r="Y48" i="39"/>
  <c r="Z48" i="39"/>
  <c r="D49" i="39"/>
  <c r="O49" i="39"/>
  <c r="Y49" i="39"/>
  <c r="Z49" i="39"/>
  <c r="W50" i="39"/>
  <c r="AA50" i="39"/>
  <c r="G55" i="39"/>
  <c r="F55" i="39"/>
  <c r="AA16" i="40"/>
  <c r="AA11" i="41"/>
  <c r="AA18" i="41"/>
  <c r="AA24" i="41"/>
  <c r="AA27" i="41"/>
  <c r="AA33" i="41"/>
  <c r="AA50" i="41"/>
  <c r="N30" i="33"/>
  <c r="N49" i="33"/>
  <c r="N48" i="33"/>
  <c r="N13" i="33"/>
  <c r="N12" i="33"/>
  <c r="Q48" i="36"/>
  <c r="Q49" i="36"/>
  <c r="K32" i="16"/>
  <c r="K33" i="16"/>
  <c r="K34" i="16"/>
  <c r="AM58" i="16"/>
  <c r="AM57" i="16"/>
  <c r="AM56" i="16"/>
  <c r="AM55" i="16"/>
  <c r="AM54" i="16"/>
  <c r="AM53" i="16"/>
  <c r="AM52" i="16"/>
  <c r="AB20" i="16"/>
  <c r="F2" i="16"/>
  <c r="Q49" i="16"/>
  <c r="AK20" i="16"/>
  <c r="P24" i="16"/>
  <c r="AL20" i="16"/>
  <c r="M23" i="16"/>
  <c r="AF20" i="16"/>
  <c r="J23" i="16"/>
  <c r="AI20" i="16"/>
  <c r="I24" i="16"/>
  <c r="AH20" i="16"/>
  <c r="I22" i="16"/>
  <c r="AC20" i="16"/>
  <c r="D14" i="16"/>
  <c r="AD20" i="16"/>
  <c r="B14" i="16"/>
  <c r="Y20" i="16"/>
  <c r="L5" i="16"/>
  <c r="W20" i="16"/>
  <c r="F4" i="16"/>
  <c r="X20" i="16"/>
  <c r="L4" i="16"/>
  <c r="AG20" i="16"/>
  <c r="O2" i="16"/>
  <c r="U20" i="16"/>
  <c r="B2" i="16"/>
  <c r="AE36" i="16"/>
  <c r="E36" i="16"/>
  <c r="AE33" i="16"/>
  <c r="E33" i="16"/>
  <c r="E1" i="31"/>
  <c r="AE43" i="16"/>
  <c r="E43" i="16"/>
  <c r="E1" i="41"/>
  <c r="AE42" i="16"/>
  <c r="E42" i="16"/>
  <c r="E1" i="40"/>
  <c r="AE41" i="16"/>
  <c r="E41" i="16"/>
  <c r="AE40" i="16"/>
  <c r="E40" i="16"/>
  <c r="E1" i="38"/>
  <c r="AE39" i="16"/>
  <c r="E39" i="16"/>
  <c r="E1" i="37"/>
  <c r="AE38" i="16"/>
  <c r="E38" i="16"/>
  <c r="E1" i="36"/>
  <c r="AE37" i="16"/>
  <c r="E37" i="16"/>
  <c r="E1" i="35"/>
  <c r="AE35" i="16"/>
  <c r="E35" i="16"/>
  <c r="E1" i="33"/>
  <c r="AE34" i="16"/>
  <c r="E34" i="16"/>
  <c r="E1" i="32"/>
  <c r="AE32" i="16"/>
  <c r="E32" i="16"/>
  <c r="T20" i="16"/>
  <c r="L31" i="16"/>
  <c r="AP20" i="16"/>
  <c r="AN20" i="16"/>
  <c r="AM20" i="16"/>
  <c r="AA20" i="16"/>
  <c r="Z20" i="16"/>
  <c r="V20" i="16"/>
  <c r="S20" i="16"/>
  <c r="B9" i="16"/>
  <c r="AC78" i="16"/>
  <c r="AD78" i="16"/>
  <c r="D3" i="16"/>
  <c r="AA14" i="38"/>
  <c r="AA34" i="38"/>
  <c r="AA33" i="38"/>
  <c r="AA41" i="38"/>
  <c r="AA45" i="38"/>
  <c r="D7" i="16"/>
  <c r="B7" i="16"/>
  <c r="AA5" i="34"/>
  <c r="Q12" i="34"/>
  <c r="AA12" i="34"/>
  <c r="Q13" i="34"/>
  <c r="AA13" i="34"/>
  <c r="Q21" i="34"/>
  <c r="AA21" i="34"/>
  <c r="Q22" i="34"/>
  <c r="AA22" i="34"/>
  <c r="Q30" i="34"/>
  <c r="AA30" i="34"/>
  <c r="Q31" i="34"/>
  <c r="AA31" i="34"/>
  <c r="Q39" i="34"/>
  <c r="AA39" i="34"/>
  <c r="Q40" i="34"/>
  <c r="AA40" i="34"/>
  <c r="Q48" i="34"/>
  <c r="Q49" i="34"/>
  <c r="AB5" i="39"/>
  <c r="AB6" i="39"/>
  <c r="AA40" i="39"/>
  <c r="AA39" i="39"/>
  <c r="AA31" i="39"/>
  <c r="AA30" i="39"/>
  <c r="AA22" i="39"/>
  <c r="AA21" i="39"/>
  <c r="AA13" i="39"/>
  <c r="AA12" i="39"/>
  <c r="AA6" i="39"/>
  <c r="AA5" i="39"/>
  <c r="W5" i="41"/>
  <c r="AA5" i="41"/>
  <c r="AB5" i="41"/>
  <c r="AB6" i="41"/>
  <c r="AB7" i="41"/>
  <c r="AB8" i="41"/>
  <c r="AB9" i="41"/>
  <c r="AB10" i="41"/>
  <c r="AB11" i="41"/>
  <c r="AB12" i="41"/>
  <c r="AB13" i="41"/>
  <c r="AB14" i="41"/>
  <c r="AB15" i="41"/>
  <c r="AB16" i="41"/>
  <c r="AB17" i="41"/>
  <c r="AB18" i="41"/>
  <c r="AB19" i="41"/>
  <c r="AB20" i="41"/>
  <c r="AB21" i="41"/>
  <c r="AB22" i="41"/>
  <c r="AB23" i="41"/>
  <c r="AB24" i="41"/>
  <c r="AB25" i="41"/>
  <c r="AB26" i="41"/>
  <c r="AB27" i="41"/>
  <c r="AB28" i="41"/>
  <c r="AB29" i="41"/>
  <c r="AB30" i="41"/>
  <c r="AB31" i="41"/>
  <c r="AB32" i="41"/>
  <c r="AB33" i="41"/>
  <c r="AB34" i="41"/>
  <c r="AB35" i="41"/>
  <c r="AB36" i="41"/>
  <c r="AB37" i="41"/>
  <c r="AB38" i="41"/>
  <c r="AB39" i="41"/>
  <c r="AB40" i="41"/>
  <c r="AB41" i="41"/>
  <c r="AB42" i="41"/>
  <c r="AB43" i="41"/>
  <c r="AB44" i="41"/>
  <c r="AB45" i="41"/>
  <c r="AB46" i="41"/>
  <c r="AB47" i="41"/>
  <c r="AB48" i="41"/>
  <c r="AB49" i="41"/>
  <c r="AB50" i="41"/>
  <c r="AB51" i="41"/>
  <c r="W6" i="41"/>
  <c r="AA6" i="41"/>
  <c r="W7" i="41"/>
  <c r="AA7" i="41"/>
  <c r="W8" i="41"/>
  <c r="AA8" i="41"/>
  <c r="W9" i="41"/>
  <c r="AA9" i="41"/>
  <c r="W10" i="41"/>
  <c r="AA10" i="41"/>
  <c r="W11" i="41"/>
  <c r="O12" i="41"/>
  <c r="Q12" i="41"/>
  <c r="AA12" i="41"/>
  <c r="O13" i="41"/>
  <c r="Q13" i="41"/>
  <c r="AA13" i="41"/>
  <c r="W14" i="41"/>
  <c r="AA14" i="41"/>
  <c r="W15" i="41"/>
  <c r="AA15" i="41"/>
  <c r="W16" i="41"/>
  <c r="W17" i="41"/>
  <c r="W18" i="41"/>
  <c r="W19" i="41"/>
  <c r="AA19" i="41"/>
  <c r="W20" i="41"/>
  <c r="O21" i="41"/>
  <c r="Q21" i="41"/>
  <c r="AA21" i="41"/>
  <c r="O22" i="41"/>
  <c r="Q22" i="41"/>
  <c r="AA22" i="41"/>
  <c r="W23" i="41"/>
  <c r="AA23" i="41"/>
  <c r="W24" i="41"/>
  <c r="W25" i="41"/>
  <c r="AA25" i="41"/>
  <c r="W26" i="41"/>
  <c r="AA26" i="41"/>
  <c r="W27" i="41"/>
  <c r="W28" i="41"/>
  <c r="W29" i="41"/>
  <c r="O30" i="41"/>
  <c r="Q30" i="41"/>
  <c r="AA30" i="41"/>
  <c r="O31" i="41"/>
  <c r="Q31" i="41"/>
  <c r="AA31" i="41"/>
  <c r="W32" i="41"/>
  <c r="AA32" i="41"/>
  <c r="W33" i="41"/>
  <c r="W34" i="41"/>
  <c r="W35" i="41"/>
  <c r="W36" i="41"/>
  <c r="AA36" i="41"/>
  <c r="W37" i="41"/>
  <c r="AA37" i="41"/>
  <c r="W38" i="41"/>
  <c r="O39" i="41"/>
  <c r="Q39" i="41"/>
  <c r="AA39" i="41"/>
  <c r="O40" i="41"/>
  <c r="Q40" i="41"/>
  <c r="AA40" i="41"/>
  <c r="W41" i="41"/>
  <c r="W42" i="41"/>
  <c r="AA42" i="41"/>
  <c r="W43" i="41"/>
  <c r="AA43" i="41"/>
  <c r="W44" i="41"/>
  <c r="AA44" i="41"/>
  <c r="W45" i="41"/>
  <c r="W46" i="41"/>
  <c r="W47" i="41"/>
  <c r="O48" i="41"/>
  <c r="Q48" i="41"/>
  <c r="Y48" i="41"/>
  <c r="Z48" i="41"/>
  <c r="O49" i="41"/>
  <c r="Q49" i="41"/>
  <c r="Y49" i="41"/>
  <c r="Z49" i="41"/>
  <c r="W50" i="41"/>
  <c r="W51" i="41"/>
  <c r="D12" i="41"/>
  <c r="D13" i="41"/>
  <c r="D21" i="41"/>
  <c r="D22" i="41"/>
  <c r="D30" i="41"/>
  <c r="D31" i="41"/>
  <c r="D39" i="41"/>
  <c r="D40" i="41"/>
  <c r="D48" i="41"/>
  <c r="D49" i="41"/>
  <c r="Q39" i="39"/>
  <c r="AA9" i="40"/>
  <c r="AA10" i="40"/>
  <c r="AA9" i="38"/>
  <c r="AA32" i="38"/>
  <c r="AA7" i="37"/>
  <c r="D12" i="38"/>
  <c r="D13" i="38"/>
  <c r="D21" i="38"/>
  <c r="D22" i="38"/>
  <c r="D30" i="38"/>
  <c r="D31" i="38"/>
  <c r="D39" i="38"/>
  <c r="D40" i="38"/>
  <c r="D48" i="38"/>
  <c r="D49" i="38"/>
  <c r="N59" i="41"/>
  <c r="M59" i="41"/>
  <c r="K59" i="41"/>
  <c r="A59" i="41"/>
  <c r="A58" i="41"/>
  <c r="G55" i="41"/>
  <c r="F55" i="41"/>
  <c r="N52" i="41"/>
  <c r="E3" i="41"/>
  <c r="N59" i="40"/>
  <c r="M59" i="40"/>
  <c r="K59" i="40"/>
  <c r="A59" i="40"/>
  <c r="A58" i="40"/>
  <c r="D12" i="40"/>
  <c r="D13" i="40"/>
  <c r="D21" i="40"/>
  <c r="D22" i="40"/>
  <c r="D30" i="40"/>
  <c r="D31" i="40"/>
  <c r="D39" i="40"/>
  <c r="D40" i="40"/>
  <c r="D48" i="40"/>
  <c r="D49" i="40"/>
  <c r="N52" i="40"/>
  <c r="AB5" i="40"/>
  <c r="AB6" i="40"/>
  <c r="AB7" i="40"/>
  <c r="AB8" i="40"/>
  <c r="AB9" i="40"/>
  <c r="AB10" i="40"/>
  <c r="AB11" i="40"/>
  <c r="AB12" i="40"/>
  <c r="AB13" i="40"/>
  <c r="AB14" i="40"/>
  <c r="AB15" i="40"/>
  <c r="AB16" i="40"/>
  <c r="AB17" i="40"/>
  <c r="AB18" i="40"/>
  <c r="AB19" i="40"/>
  <c r="AB20" i="40"/>
  <c r="AB21" i="40"/>
  <c r="AB22" i="40"/>
  <c r="AB23" i="40"/>
  <c r="AB24" i="40"/>
  <c r="AB25" i="40"/>
  <c r="AB26" i="40"/>
  <c r="AB27" i="40"/>
  <c r="AB28" i="40"/>
  <c r="AB29" i="40"/>
  <c r="AB30" i="40"/>
  <c r="AB31" i="40"/>
  <c r="AB32" i="40"/>
  <c r="AB33" i="40"/>
  <c r="AB34" i="40"/>
  <c r="AB35" i="40"/>
  <c r="AB36" i="40"/>
  <c r="AB37" i="40"/>
  <c r="AB38" i="40"/>
  <c r="AB39" i="40"/>
  <c r="AB40" i="40"/>
  <c r="AB41" i="40"/>
  <c r="AB42" i="40"/>
  <c r="AB43" i="40"/>
  <c r="AB44" i="40"/>
  <c r="AB45" i="40"/>
  <c r="AB46" i="40"/>
  <c r="AB47" i="40"/>
  <c r="AB48" i="40"/>
  <c r="AB49" i="40"/>
  <c r="AB50" i="40"/>
  <c r="AB51" i="40"/>
  <c r="W51" i="40"/>
  <c r="W50" i="40"/>
  <c r="Z49" i="40"/>
  <c r="Y49" i="40"/>
  <c r="Q49" i="40"/>
  <c r="O49" i="40"/>
  <c r="Z48" i="40"/>
  <c r="Y48" i="40"/>
  <c r="Q48" i="40"/>
  <c r="O48" i="40"/>
  <c r="W47" i="40"/>
  <c r="W46" i="40"/>
  <c r="W45" i="40"/>
  <c r="W44" i="40"/>
  <c r="W43" i="40"/>
  <c r="W42" i="40"/>
  <c r="W41" i="40"/>
  <c r="AA40" i="40"/>
  <c r="Q40" i="40"/>
  <c r="O40" i="40"/>
  <c r="AA39" i="40"/>
  <c r="Q39" i="40"/>
  <c r="O39" i="40"/>
  <c r="W38" i="40"/>
  <c r="W37" i="40"/>
  <c r="W36" i="40"/>
  <c r="W35" i="40"/>
  <c r="W34" i="40"/>
  <c r="W33" i="40"/>
  <c r="W32" i="40"/>
  <c r="AA31" i="40"/>
  <c r="Q31" i="40"/>
  <c r="O31" i="40"/>
  <c r="AA30" i="40"/>
  <c r="Q30" i="40"/>
  <c r="O30" i="40"/>
  <c r="W29" i="40"/>
  <c r="W28" i="40"/>
  <c r="W27" i="40"/>
  <c r="W26" i="40"/>
  <c r="W25" i="40"/>
  <c r="W24" i="40"/>
  <c r="W23" i="40"/>
  <c r="AA22" i="40"/>
  <c r="Q22" i="40"/>
  <c r="O22" i="40"/>
  <c r="AA21" i="40"/>
  <c r="Q21" i="40"/>
  <c r="O21" i="40"/>
  <c r="W20" i="40"/>
  <c r="W19" i="40"/>
  <c r="W18" i="40"/>
  <c r="W17" i="40"/>
  <c r="W16" i="40"/>
  <c r="W15" i="40"/>
  <c r="W14" i="40"/>
  <c r="AA13" i="40"/>
  <c r="Q13" i="40"/>
  <c r="O13" i="40"/>
  <c r="AA12" i="40"/>
  <c r="Q12" i="40"/>
  <c r="O12" i="40"/>
  <c r="W11" i="40"/>
  <c r="W10" i="40"/>
  <c r="W9" i="40"/>
  <c r="AA8" i="40"/>
  <c r="W8" i="40"/>
  <c r="AA7" i="40"/>
  <c r="W7" i="40"/>
  <c r="AA6" i="40"/>
  <c r="W6" i="40"/>
  <c r="AA5" i="40"/>
  <c r="W5" i="40"/>
  <c r="H3" i="40"/>
  <c r="E3" i="40"/>
  <c r="K59" i="39"/>
  <c r="A59" i="39"/>
  <c r="A58" i="39"/>
  <c r="N52" i="39"/>
  <c r="Q49" i="39"/>
  <c r="Q48" i="39"/>
  <c r="Q40" i="39"/>
  <c r="Q31" i="39"/>
  <c r="Q30" i="39"/>
  <c r="Q22" i="39"/>
  <c r="Q21" i="39"/>
  <c r="Q13" i="39"/>
  <c r="Q12" i="39"/>
  <c r="H3" i="39"/>
  <c r="E3" i="39"/>
  <c r="E1" i="39"/>
  <c r="K59" i="38"/>
  <c r="A59" i="38"/>
  <c r="A58" i="38"/>
  <c r="G55" i="38"/>
  <c r="F55" i="38"/>
  <c r="N52" i="38"/>
  <c r="AB5" i="38"/>
  <c r="W51" i="38"/>
  <c r="W50" i="38"/>
  <c r="Z49" i="38"/>
  <c r="Y49" i="38"/>
  <c r="Q49" i="38"/>
  <c r="O49" i="38"/>
  <c r="Z48" i="38"/>
  <c r="Y48" i="38"/>
  <c r="Q48" i="38"/>
  <c r="O48" i="38"/>
  <c r="W47" i="38"/>
  <c r="W46" i="38"/>
  <c r="W45" i="38"/>
  <c r="AA44" i="38"/>
  <c r="W44" i="38"/>
  <c r="W43" i="38"/>
  <c r="W42" i="38"/>
  <c r="W41" i="38"/>
  <c r="AA40" i="38"/>
  <c r="Q40" i="38"/>
  <c r="O40" i="38"/>
  <c r="AA39" i="38"/>
  <c r="Q39" i="38"/>
  <c r="O39" i="38"/>
  <c r="W38" i="38"/>
  <c r="W37" i="38"/>
  <c r="W36" i="38"/>
  <c r="W35" i="38"/>
  <c r="W34" i="38"/>
  <c r="W33" i="38"/>
  <c r="W32" i="38"/>
  <c r="AA31" i="38"/>
  <c r="Q31" i="38"/>
  <c r="O31" i="38"/>
  <c r="AA30" i="38"/>
  <c r="Q30" i="38"/>
  <c r="O30" i="38"/>
  <c r="W29" i="38"/>
  <c r="W28" i="38"/>
  <c r="W27" i="38"/>
  <c r="AA26" i="38"/>
  <c r="W26" i="38"/>
  <c r="W25" i="38"/>
  <c r="W24" i="38"/>
  <c r="W23" i="38"/>
  <c r="AA22" i="38"/>
  <c r="Q22" i="38"/>
  <c r="O22" i="38"/>
  <c r="AA21" i="38"/>
  <c r="Q21" i="38"/>
  <c r="O21" i="38"/>
  <c r="W20" i="38"/>
  <c r="W19" i="38"/>
  <c r="W18" i="38"/>
  <c r="W17" i="38"/>
  <c r="AA16" i="38"/>
  <c r="W16" i="38"/>
  <c r="W15" i="38"/>
  <c r="W14" i="38"/>
  <c r="AA13" i="38"/>
  <c r="Q13" i="38"/>
  <c r="O13" i="38"/>
  <c r="AA12" i="38"/>
  <c r="Q12" i="38"/>
  <c r="O12" i="38"/>
  <c r="W11" i="38"/>
  <c r="W10" i="38"/>
  <c r="W9" i="38"/>
  <c r="AA8" i="38"/>
  <c r="W8" i="38"/>
  <c r="AA7" i="38"/>
  <c r="W7" i="38"/>
  <c r="AA6" i="38"/>
  <c r="AA5" i="38"/>
  <c r="W5" i="38"/>
  <c r="E3" i="38"/>
  <c r="K59" i="37"/>
  <c r="A59" i="37"/>
  <c r="A58" i="37"/>
  <c r="N52" i="37"/>
  <c r="Q49" i="37"/>
  <c r="Q48" i="37"/>
  <c r="AA40" i="37"/>
  <c r="Q40" i="37"/>
  <c r="AA39" i="37"/>
  <c r="Q39" i="37"/>
  <c r="AA31" i="37"/>
  <c r="Q31" i="37"/>
  <c r="AA30" i="37"/>
  <c r="Q30" i="37"/>
  <c r="AA22" i="37"/>
  <c r="Q22" i="37"/>
  <c r="AA21" i="37"/>
  <c r="Q21" i="37"/>
  <c r="AA13" i="37"/>
  <c r="Q13" i="37"/>
  <c r="AA12" i="37"/>
  <c r="Q12" i="37"/>
  <c r="AA6" i="37"/>
  <c r="AA5" i="37"/>
  <c r="H3" i="37"/>
  <c r="E3" i="37"/>
  <c r="K59" i="36"/>
  <c r="A59" i="36"/>
  <c r="A58" i="36"/>
  <c r="N52" i="36"/>
  <c r="AA40" i="36"/>
  <c r="Q40" i="36"/>
  <c r="AA39" i="36"/>
  <c r="Q39" i="36"/>
  <c r="AA31" i="36"/>
  <c r="Q31" i="36"/>
  <c r="AA30" i="36"/>
  <c r="Q30" i="36"/>
  <c r="AA22" i="36"/>
  <c r="Q22" i="36"/>
  <c r="AA21" i="36"/>
  <c r="Q21" i="36"/>
  <c r="AA13" i="36"/>
  <c r="Q13" i="36"/>
  <c r="AA12" i="36"/>
  <c r="Q12" i="36"/>
  <c r="H3" i="36"/>
  <c r="E3" i="36"/>
  <c r="K59" i="35"/>
  <c r="A59" i="35"/>
  <c r="A58" i="35"/>
  <c r="N52" i="35"/>
  <c r="Q49" i="35"/>
  <c r="Q48" i="35"/>
  <c r="AA40" i="35"/>
  <c r="Q40" i="35"/>
  <c r="AA39" i="35"/>
  <c r="Q39" i="35"/>
  <c r="AA31" i="35"/>
  <c r="Q31" i="35"/>
  <c r="AA30" i="35"/>
  <c r="Q30" i="35"/>
  <c r="AA22" i="35"/>
  <c r="Q22" i="35"/>
  <c r="AA21" i="35"/>
  <c r="Q21" i="35"/>
  <c r="AA13" i="35"/>
  <c r="Q13" i="35"/>
  <c r="AA12" i="35"/>
  <c r="Q12" i="35"/>
  <c r="AA7" i="35"/>
  <c r="AA6" i="35"/>
  <c r="AA5" i="35"/>
  <c r="H3" i="35"/>
  <c r="E3" i="35"/>
  <c r="K59" i="34"/>
  <c r="A59" i="34"/>
  <c r="A58" i="34"/>
  <c r="N52" i="34"/>
  <c r="E3" i="34"/>
  <c r="E1" i="34"/>
  <c r="K59" i="33"/>
  <c r="A59" i="33"/>
  <c r="A58" i="33"/>
  <c r="N52" i="33"/>
  <c r="Q49" i="33"/>
  <c r="Q48" i="33"/>
  <c r="AA40" i="33"/>
  <c r="Q40" i="33"/>
  <c r="AA39" i="33"/>
  <c r="Q39" i="33"/>
  <c r="AA31" i="33"/>
  <c r="Q31" i="33"/>
  <c r="AA30" i="33"/>
  <c r="Q30" i="33"/>
  <c r="AA22" i="33"/>
  <c r="Q22" i="33"/>
  <c r="AA21" i="33"/>
  <c r="Q21" i="33"/>
  <c r="AA13" i="33"/>
  <c r="Q13" i="33"/>
  <c r="AA12" i="33"/>
  <c r="Q12" i="33"/>
  <c r="AA5" i="33"/>
  <c r="H3" i="33"/>
  <c r="E3" i="33"/>
  <c r="K59" i="32"/>
  <c r="A59" i="32"/>
  <c r="A58" i="32"/>
  <c r="N52" i="32"/>
  <c r="AB5" i="32"/>
  <c r="AB6" i="32"/>
  <c r="Q49" i="32"/>
  <c r="Q48" i="32"/>
  <c r="AA40" i="32"/>
  <c r="Q40" i="32"/>
  <c r="AA39" i="32"/>
  <c r="Q39" i="32"/>
  <c r="AA31" i="32"/>
  <c r="Q31" i="32"/>
  <c r="AA30" i="32"/>
  <c r="Q30" i="32"/>
  <c r="AA22" i="32"/>
  <c r="Q22" i="32"/>
  <c r="AA21" i="32"/>
  <c r="Q21" i="32"/>
  <c r="AA13" i="32"/>
  <c r="Q13" i="32"/>
  <c r="AA12" i="32"/>
  <c r="Q12" i="32"/>
  <c r="AA5" i="32"/>
  <c r="E3" i="32"/>
  <c r="N52" i="31"/>
  <c r="N59" i="31"/>
  <c r="M59" i="31"/>
  <c r="K59" i="31"/>
  <c r="A59" i="31"/>
  <c r="A58" i="31"/>
  <c r="AB5" i="31"/>
  <c r="AB6" i="31"/>
  <c r="AB7" i="31"/>
  <c r="AB8" i="31"/>
  <c r="AB9" i="31"/>
  <c r="AB10" i="31"/>
  <c r="AB11" i="31"/>
  <c r="AB12" i="31"/>
  <c r="AB13" i="31"/>
  <c r="AB14" i="31"/>
  <c r="AB15" i="31"/>
  <c r="AB16" i="31"/>
  <c r="AB17" i="31"/>
  <c r="AB18" i="31"/>
  <c r="AB19" i="31"/>
  <c r="AB20" i="31"/>
  <c r="AB21" i="31"/>
  <c r="AB22" i="31"/>
  <c r="AB23" i="31"/>
  <c r="AB24" i="31"/>
  <c r="AB25" i="31"/>
  <c r="AB26" i="31"/>
  <c r="AB27" i="31"/>
  <c r="AB28" i="31"/>
  <c r="AB29" i="31"/>
  <c r="AB30" i="31"/>
  <c r="AB31" i="31"/>
  <c r="AB32" i="31"/>
  <c r="AB33" i="31"/>
  <c r="AB34" i="31"/>
  <c r="AB35" i="31"/>
  <c r="AB36" i="31"/>
  <c r="AB37" i="31"/>
  <c r="AB38" i="31"/>
  <c r="AB39" i="31"/>
  <c r="AB40" i="31"/>
  <c r="AB41" i="31"/>
  <c r="AB42" i="31"/>
  <c r="AB43" i="31"/>
  <c r="AB44" i="31"/>
  <c r="AB45" i="31"/>
  <c r="AB46" i="31"/>
  <c r="AB47" i="31"/>
  <c r="AB48" i="31"/>
  <c r="AB49" i="31"/>
  <c r="AB50" i="31"/>
  <c r="AB51" i="31"/>
  <c r="Q49" i="31"/>
  <c r="Q48" i="31"/>
  <c r="AA40" i="31"/>
  <c r="Q40" i="31"/>
  <c r="AA39" i="31"/>
  <c r="Q39" i="31"/>
  <c r="AA31" i="31"/>
  <c r="Q31" i="31"/>
  <c r="AA30" i="31"/>
  <c r="Q30" i="31"/>
  <c r="AA22" i="31"/>
  <c r="Q22" i="31"/>
  <c r="AA21" i="31"/>
  <c r="Q21" i="31"/>
  <c r="AA13" i="31"/>
  <c r="Q13" i="31"/>
  <c r="AA12" i="31"/>
  <c r="Q12" i="31"/>
  <c r="E3" i="31"/>
  <c r="AZ32" i="16"/>
  <c r="AZ33" i="16"/>
  <c r="F7" i="16"/>
  <c r="H59" i="4"/>
  <c r="G59" i="4"/>
  <c r="F59" i="4"/>
  <c r="K59" i="4"/>
  <c r="AC43" i="16"/>
  <c r="AC42" i="16"/>
  <c r="AC41" i="16"/>
  <c r="AC40" i="16"/>
  <c r="AC39" i="16"/>
  <c r="AC38" i="16"/>
  <c r="AC37" i="16"/>
  <c r="AC36" i="16"/>
  <c r="AC35" i="16"/>
  <c r="AC34" i="16"/>
  <c r="AC33" i="16"/>
  <c r="AC32" i="16"/>
  <c r="D31" i="16"/>
  <c r="H3" i="4"/>
  <c r="E1" i="4"/>
  <c r="A58" i="4"/>
  <c r="A59" i="4"/>
  <c r="E3" i="4"/>
  <c r="G55" i="4"/>
  <c r="F55" i="4"/>
  <c r="H58" i="4"/>
  <c r="G58" i="4"/>
  <c r="F58" i="4"/>
  <c r="H3" i="32"/>
  <c r="H58" i="31"/>
  <c r="G58" i="31"/>
  <c r="F58" i="31"/>
  <c r="H3" i="31"/>
  <c r="F5" i="16"/>
  <c r="H59" i="31"/>
  <c r="G59" i="31"/>
  <c r="F59" i="31"/>
  <c r="AB7" i="32"/>
  <c r="AB8" i="32"/>
  <c r="W7" i="4"/>
  <c r="K6" i="33"/>
  <c r="K10" i="33"/>
  <c r="M24" i="33"/>
  <c r="W42" i="33"/>
  <c r="K51" i="33"/>
  <c r="M8" i="33"/>
  <c r="M17" i="33"/>
  <c r="M35" i="33"/>
  <c r="K14" i="33"/>
  <c r="W27" i="33"/>
  <c r="W36" i="33"/>
  <c r="K41" i="33"/>
  <c r="M45" i="33"/>
  <c r="W50" i="33"/>
  <c r="K43" i="33"/>
  <c r="AB6" i="38"/>
  <c r="AB7" i="38"/>
  <c r="AB8" i="38"/>
  <c r="AB9" i="38"/>
  <c r="AB10" i="38"/>
  <c r="AB11" i="38"/>
  <c r="AB12" i="38"/>
  <c r="AB13" i="38"/>
  <c r="AB14" i="38"/>
  <c r="AB15" i="38"/>
  <c r="AB16" i="38"/>
  <c r="AB17" i="38"/>
  <c r="AB18" i="38"/>
  <c r="AB19" i="38"/>
  <c r="AB20" i="38"/>
  <c r="AB21" i="38"/>
  <c r="AB22" i="38"/>
  <c r="AB23" i="38"/>
  <c r="AB24" i="38"/>
  <c r="AB25" i="38"/>
  <c r="AB26" i="38"/>
  <c r="AB27" i="38"/>
  <c r="AB28" i="38"/>
  <c r="AB29" i="38"/>
  <c r="AB30" i="38"/>
  <c r="AB31" i="38"/>
  <c r="AB32" i="38"/>
  <c r="AB33" i="38"/>
  <c r="AB34" i="38"/>
  <c r="AB35" i="38"/>
  <c r="AB36" i="38"/>
  <c r="AB37" i="38"/>
  <c r="AB38" i="38"/>
  <c r="AB39" i="38"/>
  <c r="AB40" i="38"/>
  <c r="AB41" i="38"/>
  <c r="AB42" i="38"/>
  <c r="AB43" i="38"/>
  <c r="AB44" i="38"/>
  <c r="AB45" i="38"/>
  <c r="AB46" i="38"/>
  <c r="AB47" i="38"/>
  <c r="AB48" i="38"/>
  <c r="AB49" i="38"/>
  <c r="AB50" i="38"/>
  <c r="AB51" i="38"/>
  <c r="M16" i="33"/>
  <c r="N59" i="37"/>
  <c r="K47" i="33"/>
  <c r="M38" i="33"/>
  <c r="D10" i="4"/>
  <c r="C9" i="4"/>
  <c r="W47" i="4"/>
  <c r="W16" i="36"/>
  <c r="W9" i="36"/>
  <c r="W19" i="36"/>
  <c r="C4" i="4"/>
  <c r="C6" i="4"/>
  <c r="D6" i="4"/>
  <c r="C8" i="4"/>
  <c r="D8" i="4"/>
  <c r="D7" i="4"/>
  <c r="C5" i="4"/>
  <c r="W24" i="36"/>
  <c r="W18" i="36"/>
  <c r="W27" i="36"/>
  <c r="W5" i="4"/>
  <c r="AB5" i="4"/>
  <c r="W33" i="36"/>
  <c r="W25" i="36"/>
  <c r="W43" i="36"/>
  <c r="W16" i="4"/>
  <c r="W29" i="36"/>
  <c r="W41" i="36"/>
  <c r="W42" i="4"/>
  <c r="W34" i="36"/>
  <c r="W11" i="36"/>
  <c r="W25" i="4"/>
  <c r="W37" i="36"/>
  <c r="W8" i="4"/>
  <c r="W5" i="36"/>
  <c r="AB5" i="36"/>
  <c r="AB6" i="36"/>
  <c r="AB7" i="36"/>
  <c r="AB8" i="36"/>
  <c r="AB9" i="36"/>
  <c r="AB10" i="36"/>
  <c r="AB11" i="36"/>
  <c r="AB12" i="36"/>
  <c r="AB13" i="36"/>
  <c r="AB14" i="36"/>
  <c r="AB15" i="36"/>
  <c r="AB16" i="36"/>
  <c r="W6" i="36"/>
  <c r="W50" i="36"/>
  <c r="W51" i="4"/>
  <c r="W42" i="36"/>
  <c r="W20" i="36"/>
  <c r="AB9" i="32"/>
  <c r="W46" i="36"/>
  <c r="W14" i="36"/>
  <c r="W15" i="36"/>
  <c r="W51" i="36"/>
  <c r="W28" i="36"/>
  <c r="W46" i="4"/>
  <c r="W23" i="36"/>
  <c r="W36" i="36"/>
  <c r="AB10" i="32"/>
  <c r="AB11" i="32"/>
  <c r="AB12" i="32"/>
  <c r="AB13" i="32"/>
  <c r="AB14" i="32"/>
  <c r="AB15" i="32"/>
  <c r="AB16" i="32"/>
  <c r="AB17" i="32"/>
  <c r="AB18" i="32"/>
  <c r="AB19" i="32"/>
  <c r="AB20" i="32"/>
  <c r="AB21" i="32"/>
  <c r="AB22" i="32"/>
  <c r="AB23" i="32"/>
  <c r="AB24" i="32"/>
  <c r="AB25" i="32"/>
  <c r="AB26" i="32"/>
  <c r="AB27" i="32"/>
  <c r="AB28" i="32"/>
  <c r="AB29" i="32"/>
  <c r="AB30" i="32"/>
  <c r="AB31" i="32"/>
  <c r="AB32" i="32"/>
  <c r="AB33" i="32"/>
  <c r="AB34" i="32"/>
  <c r="AB35" i="32"/>
  <c r="AB36" i="32"/>
  <c r="AB37" i="32"/>
  <c r="AB38" i="32"/>
  <c r="AB39" i="32"/>
  <c r="AB40" i="32"/>
  <c r="AB41" i="32"/>
  <c r="AB42" i="32"/>
  <c r="AB43" i="32"/>
  <c r="AB44" i="32"/>
  <c r="AB45" i="32"/>
  <c r="AB46" i="32"/>
  <c r="AB47" i="32"/>
  <c r="AB48" i="32"/>
  <c r="AB49" i="32"/>
  <c r="AB50" i="32"/>
  <c r="AB51" i="32"/>
  <c r="W32" i="36"/>
  <c r="W7" i="36"/>
  <c r="W10" i="36"/>
  <c r="W45" i="36"/>
  <c r="H58" i="32"/>
  <c r="G58" i="32"/>
  <c r="F58" i="32"/>
  <c r="W43" i="39"/>
  <c r="W8" i="37"/>
  <c r="W6" i="37"/>
  <c r="W10" i="39"/>
  <c r="W46" i="39"/>
  <c r="W11" i="39"/>
  <c r="W47" i="39"/>
  <c r="AB5" i="35"/>
  <c r="AB6" i="35"/>
  <c r="AB7" i="35"/>
  <c r="AB8" i="35"/>
  <c r="AB9" i="35"/>
  <c r="AB10" i="35"/>
  <c r="AB11" i="35"/>
  <c r="AB12" i="35"/>
  <c r="AB13" i="35"/>
  <c r="AB14" i="35"/>
  <c r="AB15" i="35"/>
  <c r="AB16" i="35"/>
  <c r="AB17" i="35"/>
  <c r="AB18" i="35"/>
  <c r="AB19" i="35"/>
  <c r="AB20" i="35"/>
  <c r="AB21" i="35"/>
  <c r="AB22" i="35"/>
  <c r="AB23" i="35"/>
  <c r="AB24" i="35"/>
  <c r="AB25" i="35"/>
  <c r="AB26" i="35"/>
  <c r="AB27" i="35"/>
  <c r="AB28" i="35"/>
  <c r="AB29" i="35"/>
  <c r="AB30" i="35"/>
  <c r="AB31" i="35"/>
  <c r="AB32" i="35"/>
  <c r="AB33" i="35"/>
  <c r="AB34" i="35"/>
  <c r="AB35" i="35"/>
  <c r="AB36" i="35"/>
  <c r="AB37" i="35"/>
  <c r="AB38" i="35"/>
  <c r="AB39" i="35"/>
  <c r="AB40" i="35"/>
  <c r="AB41" i="35"/>
  <c r="AB42" i="35"/>
  <c r="AB43" i="35"/>
  <c r="AB44" i="35"/>
  <c r="AB45" i="35"/>
  <c r="AB46" i="35"/>
  <c r="AB47" i="35"/>
  <c r="AB48" i="35"/>
  <c r="AB49" i="35"/>
  <c r="AB50" i="35"/>
  <c r="AB51" i="35"/>
  <c r="N59" i="35"/>
  <c r="M59" i="35"/>
  <c r="W50" i="37"/>
  <c r="L59" i="41"/>
  <c r="W41" i="4"/>
  <c r="W19" i="37"/>
  <c r="W15" i="39"/>
  <c r="W51" i="39"/>
  <c r="W16" i="39"/>
  <c r="W8" i="39"/>
  <c r="AB17" i="36"/>
  <c r="AB18" i="36"/>
  <c r="AB19" i="36"/>
  <c r="AB20" i="36"/>
  <c r="AB21" i="36"/>
  <c r="AB22" i="36"/>
  <c r="AB23" i="36"/>
  <c r="AB24" i="36"/>
  <c r="AB25" i="36"/>
  <c r="AB26" i="36"/>
  <c r="AB27" i="36"/>
  <c r="AB28" i="36"/>
  <c r="AB29" i="36"/>
  <c r="AB30" i="36"/>
  <c r="AB31" i="36"/>
  <c r="AB32" i="36"/>
  <c r="AB33" i="36"/>
  <c r="AB34" i="36"/>
  <c r="AB35" i="36"/>
  <c r="AB36" i="36"/>
  <c r="AB37" i="36"/>
  <c r="AB38" i="36"/>
  <c r="AB39" i="36"/>
  <c r="AB40" i="36"/>
  <c r="AB41" i="36"/>
  <c r="AB42" i="36"/>
  <c r="AB43" i="36"/>
  <c r="AB44" i="36"/>
  <c r="AB45" i="36"/>
  <c r="AB46" i="36"/>
  <c r="AB47" i="36"/>
  <c r="AB48" i="36"/>
  <c r="AB49" i="36"/>
  <c r="AB50" i="36"/>
  <c r="AB51" i="36"/>
  <c r="W45" i="37"/>
  <c r="N59" i="32"/>
  <c r="M59" i="32"/>
  <c r="W25" i="37"/>
  <c r="W19" i="39"/>
  <c r="W20" i="39"/>
  <c r="W9" i="37"/>
  <c r="W17" i="39"/>
  <c r="M50" i="33"/>
  <c r="W51" i="33"/>
  <c r="W20" i="37"/>
  <c r="W24" i="39"/>
  <c r="W25" i="39"/>
  <c r="W15" i="37"/>
  <c r="W27" i="37"/>
  <c r="W16" i="37"/>
  <c r="W6" i="4"/>
  <c r="M59" i="4"/>
  <c r="N59" i="4"/>
  <c r="W5" i="37"/>
  <c r="AB5" i="37"/>
  <c r="AB6" i="37"/>
  <c r="AB7" i="37"/>
  <c r="AB8" i="37"/>
  <c r="AB9" i="37"/>
  <c r="AB10" i="37"/>
  <c r="AB11" i="37"/>
  <c r="AB12" i="37"/>
  <c r="AB13" i="37"/>
  <c r="AB14" i="37"/>
  <c r="AB15" i="37"/>
  <c r="AB16" i="37"/>
  <c r="AB17" i="37"/>
  <c r="AB18" i="37"/>
  <c r="AB19" i="37"/>
  <c r="AB20" i="37"/>
  <c r="AB21" i="37"/>
  <c r="AB22" i="37"/>
  <c r="AB23" i="37"/>
  <c r="AB24" i="37"/>
  <c r="AB25" i="37"/>
  <c r="AB26" i="37"/>
  <c r="AB27" i="37"/>
  <c r="AB28" i="37"/>
  <c r="AB29" i="37"/>
  <c r="AB30" i="37"/>
  <c r="AB31" i="37"/>
  <c r="AB32" i="37"/>
  <c r="AB33" i="37"/>
  <c r="AB34" i="37"/>
  <c r="AB35" i="37"/>
  <c r="AB36" i="37"/>
  <c r="AB37" i="37"/>
  <c r="AB38" i="37"/>
  <c r="AB39" i="37"/>
  <c r="AB40" i="37"/>
  <c r="AB41" i="37"/>
  <c r="AB42" i="37"/>
  <c r="AB43" i="37"/>
  <c r="AB44" i="37"/>
  <c r="AB45" i="37"/>
  <c r="AB46" i="37"/>
  <c r="AB47" i="37"/>
  <c r="AB48" i="37"/>
  <c r="AB49" i="37"/>
  <c r="AB50" i="37"/>
  <c r="AB51" i="37"/>
  <c r="W17" i="36"/>
  <c r="N59" i="36"/>
  <c r="M59" i="36"/>
  <c r="B9" i="4"/>
  <c r="D9" i="4"/>
  <c r="W18" i="37"/>
  <c r="W34" i="37"/>
  <c r="W28" i="39"/>
  <c r="W16" i="33"/>
  <c r="W26" i="37"/>
  <c r="W29" i="39"/>
  <c r="N59" i="38"/>
  <c r="M59" i="38"/>
  <c r="W6" i="38"/>
  <c r="W32" i="37"/>
  <c r="W35" i="39"/>
  <c r="W41" i="33"/>
  <c r="M5" i="33"/>
  <c r="W5" i="33"/>
  <c r="M42" i="33"/>
  <c r="M6" i="33"/>
  <c r="W11" i="37"/>
  <c r="W50" i="4"/>
  <c r="W14" i="37"/>
  <c r="W43" i="33"/>
  <c r="W26" i="39"/>
  <c r="W26" i="4"/>
  <c r="W26" i="36"/>
  <c r="W38" i="37"/>
  <c r="W33" i="39"/>
  <c r="W35" i="37"/>
  <c r="W34" i="39"/>
  <c r="W36" i="37"/>
  <c r="W44" i="39"/>
  <c r="W10" i="37"/>
  <c r="W7" i="37"/>
  <c r="W29" i="37"/>
  <c r="W35" i="4"/>
  <c r="W35" i="36"/>
  <c r="W10" i="4"/>
  <c r="W43" i="37"/>
  <c r="W37" i="39"/>
  <c r="W44" i="37"/>
  <c r="W38" i="39"/>
  <c r="AB5" i="34"/>
  <c r="AB6" i="34"/>
  <c r="AB7" i="34"/>
  <c r="AB8" i="34"/>
  <c r="AB9" i="34"/>
  <c r="AB10" i="34"/>
  <c r="AB11" i="34"/>
  <c r="AB12" i="34"/>
  <c r="AB13" i="34"/>
  <c r="AB14" i="34"/>
  <c r="AB15" i="34"/>
  <c r="AB16" i="34"/>
  <c r="AB17" i="34"/>
  <c r="AB18" i="34"/>
  <c r="AB19" i="34"/>
  <c r="AB20" i="34"/>
  <c r="AB21" i="34"/>
  <c r="AB22" i="34"/>
  <c r="AB23" i="34"/>
  <c r="AB24" i="34"/>
  <c r="AB25" i="34"/>
  <c r="AB26" i="34"/>
  <c r="AB27" i="34"/>
  <c r="AB28" i="34"/>
  <c r="AB29" i="34"/>
  <c r="AB30" i="34"/>
  <c r="AB31" i="34"/>
  <c r="AB32" i="34"/>
  <c r="AB33" i="34"/>
  <c r="AB34" i="34"/>
  <c r="AB35" i="34"/>
  <c r="AB36" i="34"/>
  <c r="AB37" i="34"/>
  <c r="AB38" i="34"/>
  <c r="AB39" i="34"/>
  <c r="AB40" i="34"/>
  <c r="AB41" i="34"/>
  <c r="AB42" i="34"/>
  <c r="AB43" i="34"/>
  <c r="AB44" i="34"/>
  <c r="AB45" i="34"/>
  <c r="AB46" i="34"/>
  <c r="AB47" i="34"/>
  <c r="AB48" i="34"/>
  <c r="AB49" i="34"/>
  <c r="AB50" i="34"/>
  <c r="AB51" i="34"/>
  <c r="N59" i="34"/>
  <c r="M59" i="34"/>
  <c r="W41" i="37"/>
  <c r="W23" i="37"/>
  <c r="W17" i="37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AB20" i="4"/>
  <c r="AB21" i="4"/>
  <c r="AB22" i="4"/>
  <c r="AB23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W44" i="36"/>
  <c r="W42" i="39"/>
  <c r="W7" i="39"/>
  <c r="AB7" i="39"/>
  <c r="AB8" i="39"/>
  <c r="AB9" i="39"/>
  <c r="AB10" i="39"/>
  <c r="AB11" i="39"/>
  <c r="AB12" i="39"/>
  <c r="AB13" i="39"/>
  <c r="AB14" i="39"/>
  <c r="AB15" i="39"/>
  <c r="AB16" i="39"/>
  <c r="AB17" i="39"/>
  <c r="AB18" i="39"/>
  <c r="AB19" i="39"/>
  <c r="AB20" i="39"/>
  <c r="AB21" i="39"/>
  <c r="AB22" i="39"/>
  <c r="AB23" i="39"/>
  <c r="AB24" i="39"/>
  <c r="AB25" i="39"/>
  <c r="AB26" i="39"/>
  <c r="AB27" i="39"/>
  <c r="AB28" i="39"/>
  <c r="AB29" i="39"/>
  <c r="AB30" i="39"/>
  <c r="AB31" i="39"/>
  <c r="AB32" i="39"/>
  <c r="AB33" i="39"/>
  <c r="AB34" i="39"/>
  <c r="AB35" i="39"/>
  <c r="AB36" i="39"/>
  <c r="AB37" i="39"/>
  <c r="AB38" i="39"/>
  <c r="AB39" i="39"/>
  <c r="AB40" i="39"/>
  <c r="AB41" i="39"/>
  <c r="AB42" i="39"/>
  <c r="AB43" i="39"/>
  <c r="AB44" i="39"/>
  <c r="AB45" i="39"/>
  <c r="AB46" i="39"/>
  <c r="AB47" i="39"/>
  <c r="AB48" i="39"/>
  <c r="AB49" i="39"/>
  <c r="AB50" i="39"/>
  <c r="AB51" i="39"/>
  <c r="N59" i="39"/>
  <c r="M59" i="39"/>
  <c r="C20" i="16"/>
  <c r="B5" i="4"/>
  <c r="D5" i="4"/>
  <c r="G3" i="33"/>
  <c r="B6" i="4"/>
  <c r="B8" i="4"/>
  <c r="D11" i="4"/>
  <c r="T32" i="16"/>
  <c r="E10" i="4"/>
  <c r="E9" i="4"/>
  <c r="W9" i="4"/>
  <c r="AK43" i="16"/>
  <c r="D14" i="4"/>
  <c r="E8" i="4"/>
  <c r="O5" i="4"/>
  <c r="E5" i="4"/>
  <c r="E7" i="4"/>
  <c r="E6" i="4"/>
  <c r="O6" i="4"/>
  <c r="W11" i="4"/>
  <c r="E11" i="4"/>
  <c r="L59" i="35"/>
  <c r="L59" i="36"/>
  <c r="L59" i="38"/>
  <c r="L59" i="32"/>
  <c r="L59" i="34"/>
  <c r="L59" i="39"/>
  <c r="AP31" i="16"/>
  <c r="AP47" i="16"/>
  <c r="AV31" i="16"/>
  <c r="AV47" i="16"/>
  <c r="AQ31" i="16"/>
  <c r="AQ47" i="16"/>
  <c r="AU31" i="16"/>
  <c r="AU47" i="16"/>
  <c r="AN31" i="16"/>
  <c r="AN47" i="16"/>
  <c r="AS31" i="16"/>
  <c r="AS47" i="16"/>
  <c r="AM31" i="16"/>
  <c r="AM47" i="16"/>
  <c r="AJ31" i="16"/>
  <c r="AJ47" i="16"/>
  <c r="AW31" i="16"/>
  <c r="AW47" i="16"/>
  <c r="AT31" i="16"/>
  <c r="AT47" i="16"/>
  <c r="AO31" i="16"/>
  <c r="AO47" i="16"/>
  <c r="W14" i="4"/>
  <c r="D15" i="4"/>
  <c r="B15" i="4"/>
  <c r="AK37" i="16"/>
  <c r="AK36" i="16"/>
  <c r="AK40" i="16"/>
  <c r="AK38" i="16"/>
  <c r="AK41" i="16"/>
  <c r="AK34" i="16"/>
  <c r="W15" i="4"/>
  <c r="J56" i="4"/>
  <c r="J56" i="33"/>
  <c r="N56" i="33"/>
  <c r="J56" i="36"/>
  <c r="J56" i="40"/>
  <c r="J56" i="39"/>
  <c r="J56" i="41"/>
  <c r="J56" i="37"/>
  <c r="J56" i="38"/>
  <c r="C10" i="33"/>
  <c r="B10" i="33"/>
  <c r="J55" i="4"/>
  <c r="J55" i="33"/>
  <c r="N55" i="33"/>
  <c r="J55" i="36"/>
  <c r="J55" i="37"/>
  <c r="J55" i="38"/>
  <c r="J55" i="39"/>
  <c r="J55" i="40"/>
  <c r="J55" i="41"/>
  <c r="D16" i="4"/>
  <c r="J54" i="4"/>
  <c r="J54" i="33"/>
  <c r="N54" i="33"/>
  <c r="J54" i="38"/>
  <c r="J54" i="39"/>
  <c r="J54" i="40"/>
  <c r="J54" i="41"/>
  <c r="J54" i="36"/>
  <c r="J54" i="37"/>
  <c r="J57" i="34"/>
  <c r="J57" i="40"/>
  <c r="J57" i="36"/>
  <c r="J57" i="35"/>
  <c r="J57" i="37"/>
  <c r="J57" i="41"/>
  <c r="J57" i="31"/>
  <c r="J57" i="38"/>
  <c r="J57" i="32"/>
  <c r="J57" i="4"/>
  <c r="J57" i="39"/>
  <c r="J57" i="33"/>
  <c r="K57" i="33"/>
  <c r="J53" i="33"/>
  <c r="K53" i="33"/>
  <c r="J53" i="36"/>
  <c r="J53" i="39"/>
  <c r="J53" i="38"/>
  <c r="J53" i="4"/>
  <c r="J53" i="37"/>
  <c r="J53" i="40"/>
  <c r="J53" i="41"/>
  <c r="AF33" i="16"/>
  <c r="K57" i="37"/>
  <c r="N57" i="37"/>
  <c r="N54" i="41"/>
  <c r="K54" i="41"/>
  <c r="M54" i="41"/>
  <c r="AN43" i="16"/>
  <c r="L54" i="41"/>
  <c r="AG43" i="16"/>
  <c r="K54" i="4"/>
  <c r="N54" i="4"/>
  <c r="L54" i="4"/>
  <c r="AG32" i="16"/>
  <c r="M54" i="4"/>
  <c r="AN32" i="16"/>
  <c r="AH37" i="16"/>
  <c r="AO37" i="16"/>
  <c r="AI33" i="16"/>
  <c r="AP33" i="16"/>
  <c r="K53" i="40"/>
  <c r="L53" i="40"/>
  <c r="AF42" i="16"/>
  <c r="K53" i="4"/>
  <c r="L53" i="4"/>
  <c r="AF32" i="16"/>
  <c r="AF34" i="16"/>
  <c r="K5" i="33"/>
  <c r="K7" i="33"/>
  <c r="K8" i="33"/>
  <c r="K9" i="33"/>
  <c r="K11" i="33"/>
  <c r="K15" i="33"/>
  <c r="K16" i="33"/>
  <c r="K17" i="33"/>
  <c r="K18" i="33"/>
  <c r="K19" i="33"/>
  <c r="K20" i="33"/>
  <c r="K23" i="33"/>
  <c r="K24" i="33"/>
  <c r="K25" i="33"/>
  <c r="K26" i="33"/>
  <c r="K27" i="33"/>
  <c r="K28" i="33"/>
  <c r="K29" i="33"/>
  <c r="K38" i="33"/>
  <c r="K42" i="33"/>
  <c r="K44" i="33"/>
  <c r="K45" i="33"/>
  <c r="K46" i="33"/>
  <c r="K50" i="33"/>
  <c r="M7" i="33"/>
  <c r="M9" i="33"/>
  <c r="M10" i="33"/>
  <c r="M11" i="33"/>
  <c r="M14" i="33"/>
  <c r="M15" i="33"/>
  <c r="M18" i="33"/>
  <c r="M19" i="33"/>
  <c r="M20" i="33"/>
  <c r="M23" i="33"/>
  <c r="M26" i="33"/>
  <c r="M27" i="33"/>
  <c r="M28" i="33"/>
  <c r="M29" i="33"/>
  <c r="M32" i="33"/>
  <c r="M33" i="33"/>
  <c r="M34" i="33"/>
  <c r="M36" i="33"/>
  <c r="M37" i="33"/>
  <c r="M41" i="33"/>
  <c r="M43" i="33"/>
  <c r="M44" i="33"/>
  <c r="M46" i="33"/>
  <c r="M47" i="33"/>
  <c r="M51" i="33"/>
  <c r="L53" i="33"/>
  <c r="AF35" i="16"/>
  <c r="AF36" i="16"/>
  <c r="AF37" i="16"/>
  <c r="K53" i="36"/>
  <c r="L53" i="36"/>
  <c r="AF38" i="16"/>
  <c r="K53" i="37"/>
  <c r="L53" i="37"/>
  <c r="AF39" i="16"/>
  <c r="K53" i="38"/>
  <c r="L53" i="38"/>
  <c r="AF40" i="16"/>
  <c r="K53" i="39"/>
  <c r="L53" i="39"/>
  <c r="AF41" i="16"/>
  <c r="K53" i="41"/>
  <c r="L53" i="41"/>
  <c r="AF43" i="16"/>
  <c r="AF46" i="16"/>
  <c r="M53" i="40"/>
  <c r="AM42" i="16"/>
  <c r="N53" i="40"/>
  <c r="N54" i="40"/>
  <c r="N55" i="40"/>
  <c r="N56" i="40"/>
  <c r="N57" i="40"/>
  <c r="N58" i="40"/>
  <c r="N57" i="35"/>
  <c r="K57" i="35"/>
  <c r="L57" i="35"/>
  <c r="AJ37" i="16"/>
  <c r="M57" i="35"/>
  <c r="AQ37" i="16"/>
  <c r="L32" i="16"/>
  <c r="M32" i="16"/>
  <c r="L33" i="16"/>
  <c r="M33" i="16"/>
  <c r="L34" i="16"/>
  <c r="M34" i="16"/>
  <c r="L35" i="16"/>
  <c r="M35" i="16"/>
  <c r="L36" i="16"/>
  <c r="M36" i="16"/>
  <c r="L37" i="16"/>
  <c r="M37" i="16"/>
  <c r="L38" i="16"/>
  <c r="M38" i="16"/>
  <c r="L39" i="16"/>
  <c r="M39" i="16"/>
  <c r="L40" i="16"/>
  <c r="M40" i="16"/>
  <c r="L41" i="16"/>
  <c r="M41" i="16"/>
  <c r="L42" i="16"/>
  <c r="M42" i="16"/>
  <c r="L43" i="16"/>
  <c r="M43" i="16"/>
  <c r="AG34" i="16"/>
  <c r="AN34" i="16"/>
  <c r="N55" i="37"/>
  <c r="K55" i="37"/>
  <c r="K56" i="37"/>
  <c r="N56" i="37"/>
  <c r="K56" i="4"/>
  <c r="L56" i="4"/>
  <c r="AI32" i="16"/>
  <c r="N56" i="4"/>
  <c r="M56" i="4"/>
  <c r="AP32" i="16"/>
  <c r="N53" i="37"/>
  <c r="N57" i="39"/>
  <c r="K57" i="39"/>
  <c r="L57" i="39"/>
  <c r="AJ41" i="16"/>
  <c r="M57" i="39"/>
  <c r="AQ41" i="16"/>
  <c r="K57" i="36"/>
  <c r="N57" i="36"/>
  <c r="M57" i="36"/>
  <c r="AQ38" i="16"/>
  <c r="L57" i="36"/>
  <c r="AJ38" i="16"/>
  <c r="M54" i="40"/>
  <c r="AN42" i="16"/>
  <c r="AN33" i="16"/>
  <c r="M54" i="33"/>
  <c r="AN35" i="16"/>
  <c r="AN36" i="16"/>
  <c r="AN37" i="16"/>
  <c r="M54" i="36"/>
  <c r="AN38" i="16"/>
  <c r="M54" i="37"/>
  <c r="AN39" i="16"/>
  <c r="M54" i="38"/>
  <c r="AN40" i="16"/>
  <c r="M54" i="39"/>
  <c r="AN41" i="16"/>
  <c r="AN46" i="16"/>
  <c r="K54" i="40"/>
  <c r="L54" i="40"/>
  <c r="AG42" i="16"/>
  <c r="AH36" i="16"/>
  <c r="AO36" i="16"/>
  <c r="AI36" i="16"/>
  <c r="AP36" i="16"/>
  <c r="N53" i="4"/>
  <c r="M53" i="4"/>
  <c r="K57" i="4"/>
  <c r="N57" i="4"/>
  <c r="M57" i="4"/>
  <c r="AQ32" i="16"/>
  <c r="L57" i="4"/>
  <c r="AJ32" i="16"/>
  <c r="K57" i="40"/>
  <c r="L57" i="40"/>
  <c r="AJ42" i="16"/>
  <c r="M57" i="40"/>
  <c r="AQ42" i="16"/>
  <c r="AG33" i="16"/>
  <c r="D17" i="4"/>
  <c r="K55" i="41"/>
  <c r="L55" i="41"/>
  <c r="AH43" i="16"/>
  <c r="N55" i="41"/>
  <c r="M55" i="41"/>
  <c r="AO43" i="16"/>
  <c r="N55" i="36"/>
  <c r="K55" i="36"/>
  <c r="L55" i="36"/>
  <c r="AH38" i="16"/>
  <c r="M55" i="36"/>
  <c r="AO38" i="16"/>
  <c r="K56" i="41"/>
  <c r="L56" i="41"/>
  <c r="AI43" i="16"/>
  <c r="N56" i="41"/>
  <c r="M56" i="41"/>
  <c r="AP43" i="16"/>
  <c r="AI34" i="16"/>
  <c r="AP34" i="16"/>
  <c r="AG36" i="16"/>
  <c r="N54" i="38"/>
  <c r="K54" i="38"/>
  <c r="L54" i="38"/>
  <c r="AG40" i="16"/>
  <c r="K55" i="40"/>
  <c r="L55" i="40"/>
  <c r="AH42" i="16"/>
  <c r="K55" i="4"/>
  <c r="L55" i="4"/>
  <c r="AH32" i="16"/>
  <c r="AH33" i="16"/>
  <c r="AH34" i="16"/>
  <c r="K55" i="33"/>
  <c r="L55" i="33"/>
  <c r="AH35" i="16"/>
  <c r="L55" i="37"/>
  <c r="AH39" i="16"/>
  <c r="K55" i="38"/>
  <c r="L55" i="38"/>
  <c r="AH40" i="16"/>
  <c r="K55" i="39"/>
  <c r="L55" i="39"/>
  <c r="AH41" i="16"/>
  <c r="AH46" i="16"/>
  <c r="M55" i="40"/>
  <c r="AO42" i="16"/>
  <c r="M55" i="4"/>
  <c r="AO32" i="16"/>
  <c r="AO33" i="16"/>
  <c r="AO34" i="16"/>
  <c r="M55" i="33"/>
  <c r="AO35" i="16"/>
  <c r="M55" i="37"/>
  <c r="AO39" i="16"/>
  <c r="M55" i="38"/>
  <c r="AO40" i="16"/>
  <c r="M55" i="39"/>
  <c r="AO41" i="16"/>
  <c r="AO46" i="16"/>
  <c r="AU46" i="16"/>
  <c r="K56" i="39"/>
  <c r="L56" i="39"/>
  <c r="AI41" i="16"/>
  <c r="N56" i="39"/>
  <c r="M56" i="39"/>
  <c r="AP41" i="16"/>
  <c r="N53" i="41"/>
  <c r="M53" i="41"/>
  <c r="N53" i="39"/>
  <c r="M53" i="39"/>
  <c r="K57" i="38"/>
  <c r="L57" i="38"/>
  <c r="AJ40" i="16"/>
  <c r="N57" i="38"/>
  <c r="M57" i="38"/>
  <c r="AQ40" i="16"/>
  <c r="K57" i="31"/>
  <c r="N57" i="31"/>
  <c r="L57" i="31"/>
  <c r="AJ33" i="16"/>
  <c r="M57" i="31"/>
  <c r="AQ33" i="16"/>
  <c r="N54" i="37"/>
  <c r="K54" i="37"/>
  <c r="AG37" i="16"/>
  <c r="N55" i="39"/>
  <c r="N55" i="4"/>
  <c r="K56" i="38"/>
  <c r="L56" i="38"/>
  <c r="AI40" i="16"/>
  <c r="N56" i="38"/>
  <c r="M56" i="38"/>
  <c r="AP40" i="16"/>
  <c r="K56" i="40"/>
  <c r="L56" i="40"/>
  <c r="AI42" i="16"/>
  <c r="M56" i="40"/>
  <c r="N53" i="38"/>
  <c r="M53" i="38"/>
  <c r="K57" i="32"/>
  <c r="N57" i="32"/>
  <c r="M57" i="32"/>
  <c r="AQ34" i="16"/>
  <c r="L57" i="32"/>
  <c r="AJ34" i="16"/>
  <c r="K57" i="34"/>
  <c r="L57" i="34"/>
  <c r="AJ36" i="16"/>
  <c r="N57" i="34"/>
  <c r="M57" i="34"/>
  <c r="AQ36" i="16"/>
  <c r="K54" i="39"/>
  <c r="N54" i="39"/>
  <c r="L54" i="39"/>
  <c r="AG41" i="16"/>
  <c r="N53" i="36"/>
  <c r="M53" i="36"/>
  <c r="N57" i="41"/>
  <c r="K57" i="41"/>
  <c r="L57" i="41"/>
  <c r="AJ43" i="16"/>
  <c r="M57" i="41"/>
  <c r="AQ43" i="16"/>
  <c r="K54" i="36"/>
  <c r="L54" i="36"/>
  <c r="AG38" i="16"/>
  <c r="N54" i="36"/>
  <c r="N55" i="38"/>
  <c r="AI37" i="16"/>
  <c r="AP37" i="16"/>
  <c r="N56" i="36"/>
  <c r="K56" i="36"/>
  <c r="L56" i="36"/>
  <c r="AI38" i="16"/>
  <c r="M56" i="36"/>
  <c r="AP38" i="16"/>
  <c r="L58" i="38"/>
  <c r="L58" i="35"/>
  <c r="L58" i="32"/>
  <c r="L58" i="39"/>
  <c r="L58" i="34"/>
  <c r="N58" i="35"/>
  <c r="N58" i="38"/>
  <c r="AM36" i="16"/>
  <c r="AR36" i="16"/>
  <c r="M58" i="34"/>
  <c r="AM41" i="16"/>
  <c r="AR41" i="16"/>
  <c r="M58" i="39"/>
  <c r="L58" i="36"/>
  <c r="N58" i="39"/>
  <c r="N58" i="34"/>
  <c r="W17" i="4"/>
  <c r="AM38" i="16"/>
  <c r="AR38" i="16"/>
  <c r="M58" i="36"/>
  <c r="N58" i="36"/>
  <c r="L58" i="41"/>
  <c r="AM32" i="16"/>
  <c r="M58" i="4"/>
  <c r="AM33" i="16"/>
  <c r="AR33" i="16"/>
  <c r="M58" i="31"/>
  <c r="AM34" i="16"/>
  <c r="AR34" i="16"/>
  <c r="M58" i="32"/>
  <c r="AM43" i="16"/>
  <c r="AR43" i="16"/>
  <c r="M58" i="41"/>
  <c r="D18" i="4"/>
  <c r="N58" i="4"/>
  <c r="AM37" i="16"/>
  <c r="AR37" i="16"/>
  <c r="M58" i="35"/>
  <c r="AM40" i="16"/>
  <c r="AR40" i="16"/>
  <c r="M58" i="38"/>
  <c r="N58" i="32"/>
  <c r="N58" i="41"/>
  <c r="N58" i="31"/>
  <c r="C4" i="36"/>
  <c r="D8" i="36"/>
  <c r="C9" i="36"/>
  <c r="D9" i="36"/>
  <c r="D5" i="36"/>
  <c r="C6" i="36"/>
  <c r="C7" i="36"/>
  <c r="D7" i="36"/>
  <c r="D19" i="4"/>
  <c r="AR32" i="16"/>
  <c r="B7" i="36"/>
  <c r="B9" i="36"/>
  <c r="E9" i="36"/>
  <c r="D11" i="36"/>
  <c r="G3" i="37"/>
  <c r="F3" i="37"/>
  <c r="A3" i="37"/>
  <c r="W19" i="4"/>
  <c r="D10" i="36"/>
  <c r="D20" i="4"/>
  <c r="B20" i="4"/>
  <c r="B6" i="36"/>
  <c r="D6" i="36"/>
  <c r="C9" i="37"/>
  <c r="D10" i="37"/>
  <c r="C6" i="37"/>
  <c r="D6" i="37"/>
  <c r="C5" i="37"/>
  <c r="C4" i="37"/>
  <c r="D7" i="37"/>
  <c r="D8" i="37"/>
  <c r="E11" i="36"/>
  <c r="E7" i="36"/>
  <c r="E5" i="36"/>
  <c r="O5" i="36"/>
  <c r="E8" i="36"/>
  <c r="E11" i="37"/>
  <c r="B9" i="37"/>
  <c r="D9" i="37"/>
  <c r="E6" i="36"/>
  <c r="O6" i="36"/>
  <c r="W20" i="4"/>
  <c r="D14" i="36"/>
  <c r="D23" i="4"/>
  <c r="D11" i="37"/>
  <c r="H52" i="37"/>
  <c r="B6" i="37"/>
  <c r="C5" i="38"/>
  <c r="D5" i="38"/>
  <c r="C7" i="38"/>
  <c r="D7" i="38"/>
  <c r="D9" i="38"/>
  <c r="C6" i="38"/>
  <c r="D6" i="38"/>
  <c r="C4" i="38"/>
  <c r="E10" i="36"/>
  <c r="B5" i="37"/>
  <c r="D5" i="37"/>
  <c r="B7" i="38"/>
  <c r="B5" i="38"/>
  <c r="E7" i="38"/>
  <c r="D10" i="38"/>
  <c r="D24" i="4"/>
  <c r="C7" i="39"/>
  <c r="D7" i="39"/>
  <c r="C5" i="39"/>
  <c r="D10" i="39"/>
  <c r="C6" i="39"/>
  <c r="C4" i="39"/>
  <c r="E11" i="38"/>
  <c r="E6" i="37"/>
  <c r="O6" i="37"/>
  <c r="B6" i="38"/>
  <c r="D8" i="38"/>
  <c r="E8" i="37"/>
  <c r="O8" i="37"/>
  <c r="E10" i="37"/>
  <c r="E9" i="38"/>
  <c r="E7" i="37"/>
  <c r="O7" i="37"/>
  <c r="D14" i="37"/>
  <c r="E5" i="38"/>
  <c r="O5" i="38"/>
  <c r="E9" i="37"/>
  <c r="O9" i="37"/>
  <c r="D11" i="38"/>
  <c r="D15" i="36"/>
  <c r="E5" i="37"/>
  <c r="O5" i="37"/>
  <c r="H32" i="16"/>
  <c r="H33" i="16"/>
  <c r="H34" i="16"/>
  <c r="H35" i="16"/>
  <c r="H36" i="16"/>
  <c r="H37" i="16"/>
  <c r="H38" i="16"/>
  <c r="G52" i="37"/>
  <c r="F52" i="37"/>
  <c r="H39" i="16"/>
  <c r="H40" i="16"/>
  <c r="H41" i="16"/>
  <c r="AB42" i="16"/>
  <c r="F3" i="40"/>
  <c r="G3" i="40"/>
  <c r="A3" i="40"/>
  <c r="H52" i="40"/>
  <c r="Y42" i="16"/>
  <c r="W42" i="16"/>
  <c r="D8" i="39"/>
  <c r="D11" i="39"/>
  <c r="C44" i="16"/>
  <c r="H42" i="16"/>
  <c r="AB43" i="16"/>
  <c r="AD43" i="16"/>
  <c r="C9" i="40"/>
  <c r="D9" i="40"/>
  <c r="D6" i="40"/>
  <c r="D10" i="40"/>
  <c r="D7" i="40"/>
  <c r="C4" i="40"/>
  <c r="B7" i="39"/>
  <c r="E8" i="38"/>
  <c r="E10" i="38"/>
  <c r="D15" i="37"/>
  <c r="E11" i="39"/>
  <c r="B6" i="39"/>
  <c r="D6" i="39"/>
  <c r="W24" i="4"/>
  <c r="E10" i="39"/>
  <c r="E6" i="38"/>
  <c r="D25" i="4"/>
  <c r="D16" i="36"/>
  <c r="D14" i="38"/>
  <c r="D9" i="39"/>
  <c r="B5" i="39"/>
  <c r="D5" i="39"/>
  <c r="E11" i="40"/>
  <c r="D5" i="40"/>
  <c r="D26" i="4"/>
  <c r="E6" i="39"/>
  <c r="O6" i="39"/>
  <c r="Y43" i="16"/>
  <c r="C51" i="16"/>
  <c r="W43" i="16"/>
  <c r="B9" i="40"/>
  <c r="D17" i="36"/>
  <c r="E9" i="39"/>
  <c r="E7" i="39"/>
  <c r="O7" i="39"/>
  <c r="D15" i="38"/>
  <c r="B15" i="38"/>
  <c r="D8" i="40"/>
  <c r="E8" i="40"/>
  <c r="E9" i="40"/>
  <c r="E41" i="40"/>
  <c r="E42" i="40"/>
  <c r="V42" i="16"/>
  <c r="A3" i="33"/>
  <c r="Z43" i="16"/>
  <c r="X40" i="16"/>
  <c r="X34" i="16"/>
  <c r="X36" i="16"/>
  <c r="X35" i="16"/>
  <c r="X41" i="16"/>
  <c r="X32" i="16"/>
  <c r="X37" i="16"/>
  <c r="X33" i="16"/>
  <c r="X38" i="16"/>
  <c r="D14" i="39"/>
  <c r="E5" i="39"/>
  <c r="O5" i="39"/>
  <c r="D16" i="37"/>
  <c r="B16" i="37"/>
  <c r="D11" i="40"/>
  <c r="E8" i="39"/>
  <c r="D9" i="41"/>
  <c r="D10" i="41"/>
  <c r="C5" i="41"/>
  <c r="D5" i="41"/>
  <c r="C4" i="41"/>
  <c r="C6" i="41"/>
  <c r="D8" i="41"/>
  <c r="D7" i="41"/>
  <c r="X42" i="16"/>
  <c r="X39" i="16"/>
  <c r="D11" i="41"/>
  <c r="D16" i="38"/>
  <c r="B16" i="38"/>
  <c r="E9" i="41"/>
  <c r="B6" i="41"/>
  <c r="D6" i="41"/>
  <c r="B5" i="41"/>
  <c r="E5" i="40"/>
  <c r="O5" i="40"/>
  <c r="AD32" i="16"/>
  <c r="Z32" i="16"/>
  <c r="D17" i="37"/>
  <c r="D15" i="39"/>
  <c r="B15" i="39"/>
  <c r="O8" i="40"/>
  <c r="E7" i="40"/>
  <c r="O7" i="40"/>
  <c r="O9" i="4"/>
  <c r="O10" i="4"/>
  <c r="O7" i="4"/>
  <c r="O11" i="4"/>
  <c r="O8" i="4"/>
  <c r="O14" i="4"/>
  <c r="O15" i="4"/>
  <c r="O16" i="4"/>
  <c r="O17" i="4"/>
  <c r="O18" i="4"/>
  <c r="O19" i="4"/>
  <c r="O20" i="4"/>
  <c r="O23" i="4"/>
  <c r="O24" i="4"/>
  <c r="D18" i="36"/>
  <c r="D14" i="40"/>
  <c r="AB36" i="16"/>
  <c r="Z36" i="16"/>
  <c r="E10" i="40"/>
  <c r="O10" i="40"/>
  <c r="D27" i="4"/>
  <c r="O25" i="4"/>
  <c r="O9" i="40"/>
  <c r="O26" i="4"/>
  <c r="E6" i="40"/>
  <c r="O6" i="40"/>
  <c r="E10" i="41"/>
  <c r="D18" i="37"/>
  <c r="W27" i="4"/>
  <c r="O27" i="4"/>
  <c r="D28" i="4"/>
  <c r="E5" i="41"/>
  <c r="O5" i="41"/>
  <c r="D17" i="38"/>
  <c r="E11" i="41"/>
  <c r="D19" i="36"/>
  <c r="D16" i="39"/>
  <c r="D15" i="40"/>
  <c r="E6" i="41"/>
  <c r="D14" i="41"/>
  <c r="E7" i="41"/>
  <c r="E8" i="41"/>
  <c r="D17" i="39"/>
  <c r="D19" i="37"/>
  <c r="D16" i="40"/>
  <c r="D15" i="41"/>
  <c r="D20" i="36"/>
  <c r="D18" i="38"/>
  <c r="B18" i="38"/>
  <c r="D29" i="4"/>
  <c r="O28" i="4"/>
  <c r="W28" i="4"/>
  <c r="D19" i="38"/>
  <c r="D16" i="41"/>
  <c r="D17" i="40"/>
  <c r="D20" i="37"/>
  <c r="D32" i="4"/>
  <c r="O29" i="4"/>
  <c r="W29" i="4"/>
  <c r="D23" i="36"/>
  <c r="D18" i="39"/>
  <c r="B18" i="39"/>
  <c r="O32" i="4"/>
  <c r="D18" i="40"/>
  <c r="O33" i="4"/>
  <c r="D33" i="4"/>
  <c r="D17" i="41"/>
  <c r="D24" i="36"/>
  <c r="D23" i="37"/>
  <c r="D20" i="38"/>
  <c r="B20" i="38"/>
  <c r="D19" i="39"/>
  <c r="D24" i="37"/>
  <c r="D34" i="4"/>
  <c r="B34" i="4"/>
  <c r="D19" i="40"/>
  <c r="D20" i="39"/>
  <c r="D25" i="36"/>
  <c r="L59" i="31"/>
  <c r="D23" i="38"/>
  <c r="D18" i="41"/>
  <c r="D24" i="38"/>
  <c r="B24" i="38"/>
  <c r="AK33" i="16"/>
  <c r="L58" i="31"/>
  <c r="D26" i="36"/>
  <c r="D20" i="40"/>
  <c r="B20" i="40"/>
  <c r="D23" i="39"/>
  <c r="O34" i="4"/>
  <c r="W34" i="4"/>
  <c r="D35" i="4"/>
  <c r="O35" i="4"/>
  <c r="D25" i="37"/>
  <c r="D19" i="41"/>
  <c r="B19" i="41"/>
  <c r="D36" i="4"/>
  <c r="B36" i="4"/>
  <c r="D25" i="38"/>
  <c r="D23" i="40"/>
  <c r="D20" i="41"/>
  <c r="D27" i="36"/>
  <c r="D26" i="37"/>
  <c r="B26" i="37"/>
  <c r="D24" i="39"/>
  <c r="B24" i="39"/>
  <c r="D24" i="40"/>
  <c r="O36" i="4"/>
  <c r="W36" i="4"/>
  <c r="D25" i="39"/>
  <c r="D27" i="37"/>
  <c r="D28" i="36"/>
  <c r="D37" i="4"/>
  <c r="D23" i="41"/>
  <c r="D26" i="38"/>
  <c r="D26" i="39"/>
  <c r="D29" i="36"/>
  <c r="D27" i="38"/>
  <c r="B27" i="38"/>
  <c r="D24" i="41"/>
  <c r="B24" i="41"/>
  <c r="D28" i="37"/>
  <c r="D25" i="40"/>
  <c r="D38" i="4"/>
  <c r="O37" i="4"/>
  <c r="O38" i="4"/>
  <c r="D26" i="40"/>
  <c r="D28" i="38"/>
  <c r="W37" i="4"/>
  <c r="D32" i="36"/>
  <c r="D27" i="39"/>
  <c r="D29" i="37"/>
  <c r="W38" i="4"/>
  <c r="D41" i="4"/>
  <c r="D25" i="41"/>
  <c r="B25" i="41"/>
  <c r="D33" i="36"/>
  <c r="D29" i="38"/>
  <c r="B29" i="38"/>
  <c r="D26" i="41"/>
  <c r="B26" i="41"/>
  <c r="D32" i="37"/>
  <c r="E41" i="4"/>
  <c r="O41" i="4"/>
  <c r="D27" i="40"/>
  <c r="B27" i="40"/>
  <c r="D42" i="4"/>
  <c r="D28" i="39"/>
  <c r="B33" i="37"/>
  <c r="D33" i="37"/>
  <c r="O42" i="4"/>
  <c r="E42" i="4"/>
  <c r="D43" i="4"/>
  <c r="D27" i="41"/>
  <c r="D32" i="38"/>
  <c r="D29" i="39"/>
  <c r="D28" i="40"/>
  <c r="D34" i="36"/>
  <c r="D33" i="38"/>
  <c r="D32" i="39"/>
  <c r="D28" i="41"/>
  <c r="B28" i="41"/>
  <c r="D35" i="36"/>
  <c r="D44" i="4"/>
  <c r="D29" i="40"/>
  <c r="B29" i="40"/>
  <c r="E43" i="4"/>
  <c r="O43" i="4"/>
  <c r="D34" i="37"/>
  <c r="B34" i="38"/>
  <c r="D34" i="38"/>
  <c r="D36" i="36"/>
  <c r="B36" i="36"/>
  <c r="D45" i="4"/>
  <c r="D29" i="41"/>
  <c r="E44" i="4"/>
  <c r="O44" i="4"/>
  <c r="W44" i="4"/>
  <c r="W43" i="4"/>
  <c r="D32" i="40"/>
  <c r="D35" i="37"/>
  <c r="D33" i="39"/>
  <c r="B33" i="39"/>
  <c r="D33" i="40"/>
  <c r="D32" i="41"/>
  <c r="D37" i="36"/>
  <c r="B36" i="37"/>
  <c r="D36" i="37"/>
  <c r="D34" i="39"/>
  <c r="E45" i="4"/>
  <c r="O45" i="4"/>
  <c r="D46" i="4"/>
  <c r="D35" i="38"/>
  <c r="D47" i="4"/>
  <c r="E46" i="4"/>
  <c r="O46" i="4"/>
  <c r="D37" i="37"/>
  <c r="W45" i="4"/>
  <c r="D33" i="41"/>
  <c r="D34" i="40"/>
  <c r="D36" i="38"/>
  <c r="D35" i="39"/>
  <c r="D38" i="36"/>
  <c r="D37" i="38"/>
  <c r="D34" i="41"/>
  <c r="B34" i="41"/>
  <c r="D38" i="37"/>
  <c r="B36" i="39"/>
  <c r="D36" i="39"/>
  <c r="L59" i="4"/>
  <c r="D35" i="40"/>
  <c r="O47" i="4"/>
  <c r="E47" i="4"/>
  <c r="D41" i="36"/>
  <c r="D50" i="4"/>
  <c r="D35" i="41"/>
  <c r="B35" i="41"/>
  <c r="D51" i="4"/>
  <c r="E41" i="36"/>
  <c r="AK32" i="16"/>
  <c r="L58" i="4"/>
  <c r="D41" i="37"/>
  <c r="D42" i="36"/>
  <c r="D37" i="39"/>
  <c r="D38" i="38"/>
  <c r="E50" i="4"/>
  <c r="D36" i="40"/>
  <c r="E51" i="4"/>
  <c r="D38" i="39"/>
  <c r="D43" i="36"/>
  <c r="D41" i="38"/>
  <c r="E42" i="36"/>
  <c r="B37" i="40"/>
  <c r="D37" i="40"/>
  <c r="D42" i="37"/>
  <c r="D36" i="41"/>
  <c r="B36" i="41"/>
  <c r="E41" i="37"/>
  <c r="D37" i="41"/>
  <c r="E41" i="38"/>
  <c r="D38" i="40"/>
  <c r="D43" i="37"/>
  <c r="D42" i="38"/>
  <c r="D41" i="39"/>
  <c r="V55" i="4"/>
  <c r="Q53" i="4"/>
  <c r="T53" i="4"/>
  <c r="U57" i="4"/>
  <c r="Q58" i="4"/>
  <c r="P57" i="4"/>
  <c r="T58" i="4"/>
  <c r="R55" i="4"/>
  <c r="V53" i="4"/>
  <c r="U55" i="4"/>
  <c r="T57" i="4"/>
  <c r="R53" i="4"/>
  <c r="P55" i="4"/>
  <c r="U53" i="4"/>
  <c r="T55" i="4"/>
  <c r="U58" i="4"/>
  <c r="Q57" i="4"/>
  <c r="Q55" i="4"/>
  <c r="V57" i="4"/>
  <c r="S53" i="4"/>
  <c r="V58" i="4"/>
  <c r="R57" i="4"/>
  <c r="S57" i="4"/>
  <c r="P58" i="4"/>
  <c r="P53" i="4"/>
  <c r="S55" i="4"/>
  <c r="S58" i="4"/>
  <c r="R58" i="4"/>
  <c r="E42" i="37"/>
  <c r="E43" i="36"/>
  <c r="D44" i="36"/>
  <c r="V59" i="4"/>
  <c r="D38" i="41"/>
  <c r="B38" i="41"/>
  <c r="T59" i="4"/>
  <c r="U59" i="4"/>
  <c r="D43" i="38"/>
  <c r="P59" i="4"/>
  <c r="Q59" i="4"/>
  <c r="E42" i="38"/>
  <c r="E44" i="36"/>
  <c r="S59" i="4"/>
  <c r="E41" i="39"/>
  <c r="D41" i="40"/>
  <c r="D45" i="36"/>
  <c r="R59" i="4"/>
  <c r="D44" i="37"/>
  <c r="D42" i="39"/>
  <c r="E43" i="37"/>
  <c r="Q57" i="31"/>
  <c r="T58" i="31"/>
  <c r="E45" i="36"/>
  <c r="V57" i="31"/>
  <c r="R57" i="31"/>
  <c r="E44" i="37"/>
  <c r="S58" i="31"/>
  <c r="V58" i="31"/>
  <c r="E42" i="39"/>
  <c r="Q58" i="31"/>
  <c r="P57" i="31"/>
  <c r="D43" i="39"/>
  <c r="D44" i="38"/>
  <c r="D45" i="37"/>
  <c r="T57" i="31"/>
  <c r="P58" i="31"/>
  <c r="D42" i="40"/>
  <c r="U57" i="31"/>
  <c r="S57" i="31"/>
  <c r="U58" i="31"/>
  <c r="E43" i="38"/>
  <c r="D41" i="41"/>
  <c r="Q59" i="31"/>
  <c r="U58" i="32"/>
  <c r="Q58" i="32"/>
  <c r="P58" i="32"/>
  <c r="R57" i="32"/>
  <c r="Q57" i="32"/>
  <c r="U57" i="32"/>
  <c r="V58" i="32"/>
  <c r="T58" i="32"/>
  <c r="D46" i="36"/>
  <c r="R58" i="31"/>
  <c r="Q59" i="32"/>
  <c r="V57" i="32"/>
  <c r="V59" i="32"/>
  <c r="U59" i="32"/>
  <c r="D47" i="36"/>
  <c r="P57" i="32"/>
  <c r="P59" i="32"/>
  <c r="E41" i="41"/>
  <c r="T33" i="16"/>
  <c r="E43" i="39"/>
  <c r="R59" i="31"/>
  <c r="D46" i="37"/>
  <c r="O46" i="36"/>
  <c r="E46" i="36"/>
  <c r="D42" i="41"/>
  <c r="R58" i="32"/>
  <c r="T57" i="32"/>
  <c r="T59" i="32"/>
  <c r="T59" i="31"/>
  <c r="D45" i="38"/>
  <c r="V59" i="31"/>
  <c r="S58" i="32"/>
  <c r="E44" i="38"/>
  <c r="O44" i="38"/>
  <c r="D44" i="39"/>
  <c r="S59" i="31"/>
  <c r="P59" i="31"/>
  <c r="R59" i="32"/>
  <c r="S57" i="32"/>
  <c r="U59" i="31"/>
  <c r="D43" i="40"/>
  <c r="E45" i="37"/>
  <c r="E42" i="41"/>
  <c r="D47" i="37"/>
  <c r="D43" i="41"/>
  <c r="E47" i="36"/>
  <c r="O47" i="36"/>
  <c r="D44" i="40"/>
  <c r="E44" i="39"/>
  <c r="D50" i="36"/>
  <c r="D45" i="39"/>
  <c r="T34" i="16"/>
  <c r="D46" i="38"/>
  <c r="E45" i="38"/>
  <c r="O45" i="38"/>
  <c r="E43" i="40"/>
  <c r="S59" i="32"/>
  <c r="E46" i="37"/>
  <c r="D51" i="36"/>
  <c r="D47" i="38"/>
  <c r="T58" i="34"/>
  <c r="R57" i="34"/>
  <c r="P58" i="34"/>
  <c r="V58" i="34"/>
  <c r="V57" i="34"/>
  <c r="U58" i="34"/>
  <c r="R58" i="34"/>
  <c r="P57" i="34"/>
  <c r="Q58" i="34"/>
  <c r="S58" i="34"/>
  <c r="Q57" i="34"/>
  <c r="S57" i="34"/>
  <c r="U57" i="34"/>
  <c r="T57" i="34"/>
  <c r="D46" i="39"/>
  <c r="E50" i="36"/>
  <c r="E44" i="40"/>
  <c r="O46" i="38"/>
  <c r="E46" i="38"/>
  <c r="E45" i="39"/>
  <c r="D50" i="37"/>
  <c r="E43" i="41"/>
  <c r="P57" i="35"/>
  <c r="T57" i="35"/>
  <c r="Q58" i="35"/>
  <c r="R58" i="35"/>
  <c r="U58" i="35"/>
  <c r="P58" i="35"/>
  <c r="D45" i="40"/>
  <c r="D44" i="41"/>
  <c r="E47" i="37"/>
  <c r="T58" i="35"/>
  <c r="Q57" i="35"/>
  <c r="U57" i="35"/>
  <c r="V57" i="35"/>
  <c r="T59" i="35"/>
  <c r="R59" i="34"/>
  <c r="V59" i="34"/>
  <c r="P59" i="35"/>
  <c r="U59" i="35"/>
  <c r="D45" i="41"/>
  <c r="D51" i="37"/>
  <c r="T59" i="34"/>
  <c r="E45" i="40"/>
  <c r="E50" i="37"/>
  <c r="U59" i="34"/>
  <c r="D46" i="40"/>
  <c r="S59" i="34"/>
  <c r="P59" i="34"/>
  <c r="E47" i="38"/>
  <c r="O47" i="38"/>
  <c r="E46" i="39"/>
  <c r="R57" i="35"/>
  <c r="S57" i="35"/>
  <c r="V58" i="35"/>
  <c r="V59" i="35"/>
  <c r="S58" i="35"/>
  <c r="Q59" i="34"/>
  <c r="D50" i="38"/>
  <c r="E44" i="41"/>
  <c r="Q59" i="35"/>
  <c r="D47" i="39"/>
  <c r="E51" i="36"/>
  <c r="P53" i="36"/>
  <c r="S59" i="35"/>
  <c r="T55" i="36"/>
  <c r="S58" i="36"/>
  <c r="S53" i="36"/>
  <c r="U55" i="36"/>
  <c r="Q57" i="36"/>
  <c r="D50" i="39"/>
  <c r="E50" i="38"/>
  <c r="R59" i="35"/>
  <c r="T53" i="36"/>
  <c r="D46" i="41"/>
  <c r="Q55" i="36"/>
  <c r="E45" i="41"/>
  <c r="O45" i="41"/>
  <c r="E47" i="39"/>
  <c r="O47" i="39"/>
  <c r="D51" i="38"/>
  <c r="D47" i="40"/>
  <c r="V57" i="36"/>
  <c r="R57" i="36"/>
  <c r="V55" i="36"/>
  <c r="V58" i="36"/>
  <c r="Q53" i="36"/>
  <c r="P57" i="36"/>
  <c r="R58" i="36"/>
  <c r="U53" i="36"/>
  <c r="T58" i="36"/>
  <c r="U58" i="36"/>
  <c r="Q58" i="36"/>
  <c r="P58" i="36"/>
  <c r="T57" i="36"/>
  <c r="R53" i="36"/>
  <c r="V53" i="36"/>
  <c r="R55" i="36"/>
  <c r="U57" i="36"/>
  <c r="P55" i="36"/>
  <c r="S57" i="36"/>
  <c r="S59" i="36"/>
  <c r="E51" i="37"/>
  <c r="E46" i="40"/>
  <c r="S55" i="36"/>
  <c r="V59" i="36"/>
  <c r="R59" i="36"/>
  <c r="D51" i="39"/>
  <c r="E46" i="41"/>
  <c r="O46" i="41"/>
  <c r="P59" i="36"/>
  <c r="T59" i="36"/>
  <c r="D47" i="41"/>
  <c r="E47" i="40"/>
  <c r="Q55" i="37"/>
  <c r="E5" i="33"/>
  <c r="C6" i="33"/>
  <c r="B6" i="33"/>
  <c r="E6" i="33"/>
  <c r="C7" i="33"/>
  <c r="B7" i="33"/>
  <c r="E7" i="33"/>
  <c r="C8" i="33"/>
  <c r="B8" i="33"/>
  <c r="E8" i="33"/>
  <c r="E9" i="33"/>
  <c r="E10" i="33"/>
  <c r="B11" i="33"/>
  <c r="E11" i="33"/>
  <c r="E41" i="33"/>
  <c r="E42" i="33"/>
  <c r="E43" i="33"/>
  <c r="E44" i="33"/>
  <c r="E45" i="33"/>
  <c r="E46" i="33"/>
  <c r="E47" i="33"/>
  <c r="E50" i="33"/>
  <c r="E51" i="33"/>
  <c r="Q55" i="33"/>
  <c r="E51" i="38"/>
  <c r="Q55" i="38"/>
  <c r="E50" i="39"/>
  <c r="E51" i="39"/>
  <c r="Q55" i="39"/>
  <c r="E50" i="40"/>
  <c r="E51" i="40"/>
  <c r="Q55" i="40"/>
  <c r="E47" i="41"/>
  <c r="E50" i="41"/>
  <c r="E51" i="41"/>
  <c r="Q55" i="41"/>
  <c r="BB34" i="16"/>
  <c r="T57" i="37"/>
  <c r="T57" i="33"/>
  <c r="T57" i="38"/>
  <c r="T57" i="39"/>
  <c r="T57" i="40"/>
  <c r="T57" i="41"/>
  <c r="S57" i="37"/>
  <c r="S57" i="33"/>
  <c r="S57" i="38"/>
  <c r="S57" i="39"/>
  <c r="S57" i="40"/>
  <c r="S57" i="41"/>
  <c r="BD32" i="16"/>
  <c r="S58" i="37"/>
  <c r="T55" i="37"/>
  <c r="V55" i="37"/>
  <c r="V55" i="33"/>
  <c r="V55" i="38"/>
  <c r="V55" i="39"/>
  <c r="V55" i="40"/>
  <c r="V55" i="41"/>
  <c r="BG34" i="16"/>
  <c r="V57" i="37"/>
  <c r="V53" i="37"/>
  <c r="P55" i="37"/>
  <c r="U53" i="37"/>
  <c r="T53" i="37"/>
  <c r="R53" i="37"/>
  <c r="P58" i="37"/>
  <c r="P58" i="33"/>
  <c r="P58" i="38"/>
  <c r="P58" i="39"/>
  <c r="P58" i="40"/>
  <c r="P58" i="41"/>
  <c r="U55" i="37"/>
  <c r="U55" i="33"/>
  <c r="U55" i="38"/>
  <c r="U55" i="39"/>
  <c r="U55" i="40"/>
  <c r="U55" i="41"/>
  <c r="BF34" i="16"/>
  <c r="S53" i="37"/>
  <c r="P57" i="37"/>
  <c r="P57" i="33"/>
  <c r="P57" i="38"/>
  <c r="P57" i="39"/>
  <c r="P57" i="40"/>
  <c r="P57" i="41"/>
  <c r="U58" i="37"/>
  <c r="U58" i="33"/>
  <c r="U58" i="38"/>
  <c r="U58" i="39"/>
  <c r="U58" i="40"/>
  <c r="U58" i="41"/>
  <c r="BF33" i="16"/>
  <c r="U57" i="37"/>
  <c r="U57" i="33"/>
  <c r="U57" i="38"/>
  <c r="U57" i="39"/>
  <c r="U57" i="40"/>
  <c r="U57" i="41"/>
  <c r="R55" i="37"/>
  <c r="S55" i="37"/>
  <c r="Q58" i="37"/>
  <c r="Q57" i="37"/>
  <c r="Q59" i="37"/>
  <c r="Q58" i="33"/>
  <c r="Q58" i="38"/>
  <c r="Q58" i="39"/>
  <c r="Q58" i="40"/>
  <c r="Q58" i="41"/>
  <c r="BB33" i="16"/>
  <c r="P53" i="37"/>
  <c r="R57" i="37"/>
  <c r="Q53" i="37"/>
  <c r="T58" i="37"/>
  <c r="T58" i="33"/>
  <c r="T58" i="38"/>
  <c r="T58" i="39"/>
  <c r="T58" i="40"/>
  <c r="T58" i="41"/>
  <c r="BE33" i="16"/>
  <c r="R58" i="37"/>
  <c r="V58" i="37"/>
  <c r="V58" i="33"/>
  <c r="V58" i="38"/>
  <c r="V58" i="39"/>
  <c r="V58" i="40"/>
  <c r="V57" i="40"/>
  <c r="V59" i="40"/>
  <c r="V58" i="41"/>
  <c r="D50" i="40"/>
  <c r="Q59" i="36"/>
  <c r="U59" i="36"/>
  <c r="O47" i="41"/>
  <c r="S58" i="39"/>
  <c r="R53" i="38"/>
  <c r="T53" i="38"/>
  <c r="R55" i="38"/>
  <c r="S55" i="38"/>
  <c r="P53" i="38"/>
  <c r="P55" i="38"/>
  <c r="U53" i="38"/>
  <c r="V53" i="38"/>
  <c r="V57" i="38"/>
  <c r="R58" i="38"/>
  <c r="Q57" i="38"/>
  <c r="T55" i="38"/>
  <c r="Q53" i="38"/>
  <c r="S53" i="38"/>
  <c r="R57" i="38"/>
  <c r="S58" i="38"/>
  <c r="D50" i="41"/>
  <c r="D51" i="40"/>
  <c r="S55" i="39"/>
  <c r="S59" i="38"/>
  <c r="R58" i="39"/>
  <c r="R59" i="38"/>
  <c r="D51" i="41"/>
  <c r="Q59" i="38"/>
  <c r="U59" i="38"/>
  <c r="V57" i="39"/>
  <c r="V59" i="39"/>
  <c r="V59" i="38"/>
  <c r="T59" i="38"/>
  <c r="G52" i="40"/>
  <c r="F52" i="40"/>
  <c r="P59" i="38"/>
  <c r="P55" i="39"/>
  <c r="P53" i="39"/>
  <c r="R53" i="39"/>
  <c r="T55" i="39"/>
  <c r="R57" i="39"/>
  <c r="R59" i="39"/>
  <c r="S53" i="39"/>
  <c r="T59" i="39"/>
  <c r="Q53" i="39"/>
  <c r="U53" i="39"/>
  <c r="Q57" i="39"/>
  <c r="Q59" i="39"/>
  <c r="R55" i="39"/>
  <c r="T53" i="39"/>
  <c r="V53" i="39"/>
  <c r="U59" i="39"/>
  <c r="P59" i="39"/>
  <c r="T53" i="40"/>
  <c r="V53" i="40"/>
  <c r="R53" i="40"/>
  <c r="P53" i="40"/>
  <c r="R55" i="40"/>
  <c r="T55" i="40"/>
  <c r="T55" i="33"/>
  <c r="T55" i="41"/>
  <c r="BE34" i="16"/>
  <c r="Q53" i="40"/>
  <c r="U53" i="40"/>
  <c r="S55" i="40"/>
  <c r="R58" i="40"/>
  <c r="Q57" i="40"/>
  <c r="S53" i="40"/>
  <c r="S58" i="40"/>
  <c r="S58" i="33"/>
  <c r="S58" i="41"/>
  <c r="BD33" i="16"/>
  <c r="BD36" i="16"/>
  <c r="P55" i="40"/>
  <c r="P55" i="33"/>
  <c r="P55" i="41"/>
  <c r="BA34" i="16"/>
  <c r="S59" i="39"/>
  <c r="S55" i="41"/>
  <c r="P59" i="41"/>
  <c r="S53" i="41"/>
  <c r="R53" i="41"/>
  <c r="R57" i="41"/>
  <c r="R55" i="41"/>
  <c r="P53" i="41"/>
  <c r="V53" i="41"/>
  <c r="R58" i="41"/>
  <c r="U53" i="41"/>
  <c r="V57" i="41"/>
  <c r="Q53" i="41"/>
  <c r="T53" i="41"/>
  <c r="Q57" i="41"/>
  <c r="U59" i="41"/>
  <c r="V59" i="41"/>
  <c r="T59" i="41"/>
  <c r="R59" i="41"/>
  <c r="S59" i="41"/>
  <c r="Q59" i="41"/>
  <c r="W6" i="33"/>
  <c r="K56" i="33"/>
  <c r="W28" i="33"/>
  <c r="AB5" i="33"/>
  <c r="AB6" i="33"/>
  <c r="W46" i="33"/>
  <c r="K54" i="33"/>
  <c r="D9" i="33"/>
  <c r="W37" i="33"/>
  <c r="D6" i="33"/>
  <c r="W35" i="33"/>
  <c r="W20" i="33"/>
  <c r="O10" i="33"/>
  <c r="D5" i="33"/>
  <c r="D10" i="33"/>
  <c r="W38" i="33"/>
  <c r="W45" i="33"/>
  <c r="N57" i="33"/>
  <c r="W33" i="33"/>
  <c r="W32" i="33"/>
  <c r="W44" i="33"/>
  <c r="W9" i="33"/>
  <c r="N53" i="33"/>
  <c r="D7" i="33"/>
  <c r="C4" i="33"/>
  <c r="AB7" i="33"/>
  <c r="W47" i="33"/>
  <c r="W7" i="33"/>
  <c r="AB33" i="16"/>
  <c r="Z33" i="16"/>
  <c r="K35" i="16"/>
  <c r="H59" i="32"/>
  <c r="G59" i="32"/>
  <c r="F59" i="32"/>
  <c r="AB37" i="16"/>
  <c r="Z37" i="16"/>
  <c r="H23" i="16"/>
  <c r="X43" i="16"/>
  <c r="AB41" i="16"/>
  <c r="Z41" i="16"/>
  <c r="AA6" i="33"/>
  <c r="W11" i="33"/>
  <c r="W10" i="33"/>
  <c r="H59" i="33"/>
  <c r="G59" i="33"/>
  <c r="F59" i="33"/>
  <c r="K36" i="16"/>
  <c r="AB34" i="16"/>
  <c r="Z34" i="16"/>
  <c r="AB38" i="16"/>
  <c r="Z38" i="16"/>
  <c r="W24" i="33"/>
  <c r="AB8" i="33"/>
  <c r="AB9" i="33"/>
  <c r="AB10" i="33"/>
  <c r="AB11" i="33"/>
  <c r="AB12" i="33"/>
  <c r="AB13" i="33"/>
  <c r="AB14" i="33"/>
  <c r="AB15" i="33"/>
  <c r="AB16" i="33"/>
  <c r="AB17" i="33"/>
  <c r="AB18" i="33"/>
  <c r="AB19" i="33"/>
  <c r="AB20" i="33"/>
  <c r="AB21" i="33"/>
  <c r="AB22" i="33"/>
  <c r="AB23" i="33"/>
  <c r="AB24" i="33"/>
  <c r="AB25" i="33"/>
  <c r="AB26" i="33"/>
  <c r="AB27" i="33"/>
  <c r="AB28" i="33"/>
  <c r="AB29" i="33"/>
  <c r="AB30" i="33"/>
  <c r="AB31" i="33"/>
  <c r="AB32" i="33"/>
  <c r="AB33" i="33"/>
  <c r="AB34" i="33"/>
  <c r="AB35" i="33"/>
  <c r="AB36" i="33"/>
  <c r="AB37" i="33"/>
  <c r="AB38" i="33"/>
  <c r="AB39" i="33"/>
  <c r="AB40" i="33"/>
  <c r="AB41" i="33"/>
  <c r="AB42" i="33"/>
  <c r="AB43" i="33"/>
  <c r="AB44" i="33"/>
  <c r="AB45" i="33"/>
  <c r="AB46" i="33"/>
  <c r="AB47" i="33"/>
  <c r="AB48" i="33"/>
  <c r="AB49" i="33"/>
  <c r="AB50" i="33"/>
  <c r="AB51" i="33"/>
  <c r="H31" i="4"/>
  <c r="G31" i="4"/>
  <c r="F31" i="4"/>
  <c r="H22" i="4"/>
  <c r="G22" i="4"/>
  <c r="F22" i="4"/>
  <c r="N59" i="33"/>
  <c r="N58" i="33"/>
  <c r="H13" i="4"/>
  <c r="G13" i="4"/>
  <c r="F13" i="4"/>
  <c r="V33" i="16"/>
  <c r="V39" i="16"/>
  <c r="V38" i="16"/>
  <c r="V36" i="16"/>
  <c r="V43" i="16"/>
  <c r="V41" i="16"/>
  <c r="V40" i="16"/>
  <c r="V32" i="16"/>
  <c r="V37" i="16"/>
  <c r="O11" i="33"/>
  <c r="M59" i="33"/>
  <c r="O9" i="33"/>
  <c r="O5" i="33"/>
  <c r="O6" i="33"/>
  <c r="O7" i="33"/>
  <c r="O8" i="33"/>
  <c r="H13" i="33"/>
  <c r="G13" i="33"/>
  <c r="D11" i="33"/>
  <c r="D8" i="33"/>
  <c r="AA7" i="33"/>
  <c r="H59" i="34"/>
  <c r="G59" i="34"/>
  <c r="F59" i="34"/>
  <c r="K37" i="16"/>
  <c r="G53" i="36"/>
  <c r="F53" i="36"/>
  <c r="L57" i="33"/>
  <c r="AJ35" i="16"/>
  <c r="M56" i="33"/>
  <c r="AP35" i="16"/>
  <c r="M53" i="33"/>
  <c r="AM35" i="16"/>
  <c r="M57" i="33"/>
  <c r="AQ35" i="16"/>
  <c r="L56" i="33"/>
  <c r="AI35" i="16"/>
  <c r="L54" i="33"/>
  <c r="AG35" i="16"/>
  <c r="G53" i="4"/>
  <c r="F53" i="4"/>
  <c r="T37" i="16"/>
  <c r="D14" i="33"/>
  <c r="AA8" i="33"/>
  <c r="K38" i="16"/>
  <c r="H59" i="35"/>
  <c r="G59" i="35"/>
  <c r="F59" i="35"/>
  <c r="T38" i="16"/>
  <c r="T36" i="16"/>
  <c r="M58" i="33"/>
  <c r="AR35" i="16"/>
  <c r="O14" i="33"/>
  <c r="W14" i="33"/>
  <c r="D15" i="33"/>
  <c r="W8" i="33"/>
  <c r="AA9" i="33"/>
  <c r="H59" i="36"/>
  <c r="G59" i="36"/>
  <c r="F59" i="36"/>
  <c r="K39" i="16"/>
  <c r="O15" i="33"/>
  <c r="W15" i="33"/>
  <c r="D16" i="33"/>
  <c r="B16" i="33"/>
  <c r="O16" i="33"/>
  <c r="AA10" i="33"/>
  <c r="H59" i="37"/>
  <c r="G59" i="37"/>
  <c r="F59" i="37"/>
  <c r="K40" i="16"/>
  <c r="D17" i="33"/>
  <c r="B17" i="33"/>
  <c r="H59" i="38"/>
  <c r="G59" i="38"/>
  <c r="F59" i="38"/>
  <c r="K41" i="16"/>
  <c r="AB35" i="16"/>
  <c r="Z35" i="16"/>
  <c r="D18" i="33"/>
  <c r="O17" i="33"/>
  <c r="W17" i="33"/>
  <c r="AA14" i="33"/>
  <c r="K42" i="16"/>
  <c r="H59" i="39"/>
  <c r="G59" i="39"/>
  <c r="F59" i="39"/>
  <c r="O18" i="33"/>
  <c r="W18" i="33"/>
  <c r="B19" i="33"/>
  <c r="D19" i="33"/>
  <c r="AA15" i="33"/>
  <c r="K43" i="16"/>
  <c r="H59" i="41"/>
  <c r="G59" i="41"/>
  <c r="F59" i="41"/>
  <c r="H59" i="40"/>
  <c r="G59" i="40"/>
  <c r="F59" i="40"/>
  <c r="D20" i="33"/>
  <c r="O20" i="33"/>
  <c r="O19" i="33"/>
  <c r="W19" i="33"/>
  <c r="AA16" i="33"/>
  <c r="D23" i="33"/>
  <c r="AA17" i="33"/>
  <c r="D24" i="33"/>
  <c r="O24" i="33"/>
  <c r="O23" i="33"/>
  <c r="W23" i="33"/>
  <c r="AA18" i="33"/>
  <c r="D25" i="33"/>
  <c r="B25" i="33"/>
  <c r="AA19" i="33"/>
  <c r="D26" i="33"/>
  <c r="O25" i="33"/>
  <c r="O26" i="33"/>
  <c r="W26" i="33"/>
  <c r="W25" i="33"/>
  <c r="B27" i="33"/>
  <c r="O27" i="33"/>
  <c r="D27" i="33"/>
  <c r="AA23" i="33"/>
  <c r="O28" i="33"/>
  <c r="O29" i="33"/>
  <c r="O32" i="33"/>
  <c r="D28" i="33"/>
  <c r="AA24" i="33"/>
  <c r="D29" i="33"/>
  <c r="AA25" i="33"/>
  <c r="D32" i="33"/>
  <c r="W29" i="33"/>
  <c r="O33" i="33"/>
  <c r="D33" i="33"/>
  <c r="AA27" i="33"/>
  <c r="D34" i="33"/>
  <c r="AA28" i="33"/>
  <c r="O34" i="33"/>
  <c r="D35" i="33"/>
  <c r="O35" i="33"/>
  <c r="O36" i="33"/>
  <c r="O37" i="33"/>
  <c r="O38" i="33"/>
  <c r="H40" i="33"/>
  <c r="G40" i="33"/>
  <c r="F40" i="33"/>
  <c r="O41" i="33"/>
  <c r="W34" i="33"/>
  <c r="D36" i="33"/>
  <c r="L59" i="33"/>
  <c r="D37" i="33"/>
  <c r="AA33" i="33"/>
  <c r="L58" i="33"/>
  <c r="AK35" i="16"/>
  <c r="D38" i="33"/>
  <c r="AA34" i="33"/>
  <c r="D41" i="33"/>
  <c r="D42" i="33"/>
  <c r="D43" i="33"/>
  <c r="V35" i="16"/>
  <c r="O42" i="33"/>
  <c r="D44" i="33"/>
  <c r="O43" i="33"/>
  <c r="D45" i="33"/>
  <c r="O44" i="33"/>
  <c r="O45" i="33"/>
  <c r="O46" i="33"/>
  <c r="O47" i="33"/>
  <c r="AA41" i="33"/>
  <c r="D46" i="33"/>
  <c r="AA42" i="33"/>
  <c r="D47" i="33"/>
  <c r="AA43" i="33"/>
  <c r="D50" i="33"/>
  <c r="D51" i="33"/>
  <c r="H52" i="33"/>
  <c r="G52" i="33"/>
  <c r="F52" i="33"/>
  <c r="G53" i="33"/>
  <c r="F53" i="33"/>
  <c r="Q57" i="33"/>
  <c r="S53" i="33"/>
  <c r="R55" i="33"/>
  <c r="BC34" i="16"/>
  <c r="R58" i="33"/>
  <c r="BC33" i="16"/>
  <c r="S55" i="33"/>
  <c r="BD34" i="16"/>
  <c r="V57" i="33"/>
  <c r="T53" i="33"/>
  <c r="R53" i="33"/>
  <c r="V53" i="33"/>
  <c r="R57" i="33"/>
  <c r="U53" i="33"/>
  <c r="Q53" i="33"/>
  <c r="P53" i="33"/>
  <c r="U59" i="33"/>
  <c r="S59" i="33"/>
  <c r="V59" i="33"/>
  <c r="Q59" i="33"/>
  <c r="P59" i="33"/>
  <c r="R59" i="33"/>
  <c r="T59" i="33"/>
  <c r="T35" i="16"/>
  <c r="G55" i="33"/>
  <c r="F55" i="33"/>
  <c r="H58" i="33"/>
  <c r="G58" i="33"/>
  <c r="F58" i="33"/>
  <c r="H3" i="34"/>
  <c r="H58" i="34"/>
  <c r="G58" i="34"/>
  <c r="F58" i="34"/>
  <c r="O26" i="36"/>
  <c r="O34" i="36"/>
  <c r="O28" i="37"/>
  <c r="O34" i="37"/>
  <c r="O16" i="37"/>
  <c r="O24" i="37"/>
  <c r="O37" i="37"/>
  <c r="O20" i="37"/>
  <c r="O25" i="37"/>
  <c r="O26" i="37"/>
  <c r="O10" i="37"/>
  <c r="O45" i="37"/>
  <c r="O14" i="37"/>
  <c r="O15" i="37"/>
  <c r="O17" i="37"/>
  <c r="O18" i="37"/>
  <c r="O19" i="37"/>
  <c r="H22" i="37"/>
  <c r="V34" i="16"/>
  <c r="V45" i="16"/>
  <c r="S46" i="16"/>
  <c r="N58" i="37"/>
  <c r="R59" i="37"/>
  <c r="BG32" i="16"/>
  <c r="U59" i="37"/>
  <c r="S59" i="37"/>
  <c r="O43" i="37"/>
  <c r="O44" i="37"/>
  <c r="O47" i="37"/>
  <c r="H58" i="35"/>
  <c r="G58" i="35"/>
  <c r="F58" i="35"/>
  <c r="O29" i="37"/>
  <c r="O42" i="37"/>
  <c r="O35" i="37"/>
  <c r="F13" i="33"/>
  <c r="O32" i="37"/>
  <c r="O36" i="37"/>
  <c r="O27" i="37"/>
  <c r="O41" i="37"/>
  <c r="O46" i="37"/>
  <c r="O38" i="37"/>
  <c r="O11" i="37"/>
  <c r="O23" i="37"/>
  <c r="O33" i="37"/>
  <c r="H40" i="37"/>
  <c r="G53" i="37"/>
  <c r="F53" i="37"/>
  <c r="L56" i="37"/>
  <c r="AI39" i="16"/>
  <c r="AI46" i="16"/>
  <c r="L54" i="37"/>
  <c r="AG39" i="16"/>
  <c r="AG46" i="16"/>
  <c r="L57" i="37"/>
  <c r="AJ39" i="16"/>
  <c r="AJ46" i="16"/>
  <c r="M56" i="37"/>
  <c r="AP39" i="16"/>
  <c r="M53" i="37"/>
  <c r="AM39" i="16"/>
  <c r="M57" i="37"/>
  <c r="AQ39" i="16"/>
  <c r="AQ46" i="16"/>
  <c r="AA26" i="37"/>
  <c r="AM46" i="16"/>
  <c r="AA32" i="37"/>
  <c r="T39" i="16"/>
  <c r="AA33" i="37"/>
  <c r="AA34" i="37"/>
  <c r="AB39" i="16"/>
  <c r="Z39" i="16"/>
  <c r="AA36" i="37"/>
  <c r="AA41" i="37"/>
  <c r="AA42" i="37"/>
  <c r="AA50" i="37"/>
  <c r="U54" i="4"/>
  <c r="G53" i="38"/>
  <c r="F53" i="38"/>
  <c r="T59" i="37"/>
  <c r="P59" i="37"/>
  <c r="BA33" i="16"/>
  <c r="AR39" i="16"/>
  <c r="O36" i="36"/>
  <c r="O19" i="36"/>
  <c r="O17" i="36"/>
  <c r="O15" i="36"/>
  <c r="O43" i="36"/>
  <c r="O44" i="36"/>
  <c r="O7" i="36"/>
  <c r="O8" i="36"/>
  <c r="O27" i="36"/>
  <c r="O23" i="36"/>
  <c r="O18" i="36"/>
  <c r="O16" i="36"/>
  <c r="O25" i="36"/>
  <c r="O14" i="36"/>
  <c r="O32" i="36"/>
  <c r="G22" i="37"/>
  <c r="F22" i="37"/>
  <c r="H22" i="33"/>
  <c r="G22" i="33"/>
  <c r="F22" i="33"/>
  <c r="V59" i="37"/>
  <c r="M59" i="37"/>
  <c r="M58" i="37"/>
  <c r="H22" i="16"/>
  <c r="G53" i="39"/>
  <c r="F53" i="39"/>
  <c r="W47" i="37"/>
  <c r="H58" i="37"/>
  <c r="G58" i="37"/>
  <c r="F58" i="37"/>
  <c r="G55" i="37"/>
  <c r="F55" i="37"/>
  <c r="G53" i="41"/>
  <c r="F53" i="41"/>
  <c r="T40" i="16"/>
  <c r="T41" i="16"/>
  <c r="L59" i="37"/>
  <c r="H3" i="38"/>
  <c r="L58" i="37"/>
  <c r="AK39" i="16"/>
  <c r="O42" i="38"/>
  <c r="O6" i="38"/>
  <c r="O7" i="38"/>
  <c r="O8" i="38"/>
  <c r="O9" i="38"/>
  <c r="O10" i="38"/>
  <c r="O11" i="38"/>
  <c r="H13" i="38"/>
  <c r="G13" i="38"/>
  <c r="F13" i="38"/>
  <c r="O38" i="38"/>
  <c r="O14" i="38"/>
  <c r="O37" i="38"/>
  <c r="O23" i="38"/>
  <c r="O19" i="38"/>
  <c r="O36" i="38"/>
  <c r="O25" i="38"/>
  <c r="O32" i="38"/>
  <c r="O18" i="38"/>
  <c r="O28" i="38"/>
  <c r="O35" i="38"/>
  <c r="O24" i="38"/>
  <c r="O26" i="38"/>
  <c r="O27" i="38"/>
  <c r="O29" i="38"/>
  <c r="H31" i="38"/>
  <c r="G31" i="38"/>
  <c r="F31" i="38"/>
  <c r="O43" i="38"/>
  <c r="O41" i="38"/>
  <c r="H49" i="38"/>
  <c r="G49" i="38"/>
  <c r="F49" i="38"/>
  <c r="O15" i="38"/>
  <c r="O17" i="38"/>
  <c r="O20" i="38"/>
  <c r="O34" i="38"/>
  <c r="O33" i="38"/>
  <c r="H40" i="38"/>
  <c r="G40" i="38"/>
  <c r="O16" i="38"/>
  <c r="H58" i="38"/>
  <c r="G58" i="38"/>
  <c r="F58" i="38"/>
  <c r="O11" i="39"/>
  <c r="O37" i="39"/>
  <c r="O45" i="39"/>
  <c r="O36" i="39"/>
  <c r="O14" i="39"/>
  <c r="O26" i="39"/>
  <c r="O9" i="39"/>
  <c r="O41" i="39"/>
  <c r="O44" i="39"/>
  <c r="O25" i="39"/>
  <c r="O16" i="39"/>
  <c r="O23" i="39"/>
  <c r="O46" i="39"/>
  <c r="O8" i="39"/>
  <c r="O27" i="39"/>
  <c r="O24" i="39"/>
  <c r="H58" i="39"/>
  <c r="G58" i="39"/>
  <c r="F58" i="39"/>
  <c r="O38" i="39"/>
  <c r="O15" i="39"/>
  <c r="O42" i="39"/>
  <c r="O34" i="39"/>
  <c r="O43" i="39"/>
  <c r="O18" i="39"/>
  <c r="O28" i="39"/>
  <c r="O34" i="40"/>
  <c r="H22" i="38"/>
  <c r="G22" i="38"/>
  <c r="F22" i="38"/>
  <c r="O28" i="40"/>
  <c r="O42" i="40"/>
  <c r="O14" i="40"/>
  <c r="O38" i="40"/>
  <c r="O33" i="40"/>
  <c r="O20" i="40"/>
  <c r="O43" i="40"/>
  <c r="O47" i="40"/>
  <c r="O45" i="40"/>
  <c r="O15" i="40"/>
  <c r="O25" i="40"/>
  <c r="O11" i="40"/>
  <c r="H13" i="40"/>
  <c r="G13" i="40"/>
  <c r="F13" i="40"/>
  <c r="O24" i="40"/>
  <c r="O37" i="40"/>
  <c r="O27" i="40"/>
  <c r="G53" i="40"/>
  <c r="F53" i="40"/>
  <c r="O41" i="40"/>
  <c r="O32" i="40"/>
  <c r="O26" i="40"/>
  <c r="O19" i="40"/>
  <c r="O44" i="40"/>
  <c r="O29" i="40"/>
  <c r="O23" i="40"/>
  <c r="O18" i="40"/>
  <c r="F40" i="38"/>
  <c r="H31" i="40"/>
  <c r="G31" i="40"/>
  <c r="F31" i="40"/>
  <c r="AB40" i="16"/>
  <c r="Z40" i="16"/>
  <c r="S47" i="16"/>
  <c r="BG33" i="16"/>
  <c r="BG36" i="16"/>
  <c r="U54" i="40"/>
  <c r="R54" i="37"/>
  <c r="AJ44" i="16"/>
  <c r="P54" i="41"/>
  <c r="Q54" i="36"/>
  <c r="AS46" i="16"/>
  <c r="M58" i="40"/>
  <c r="H49" i="39"/>
  <c r="G49" i="39"/>
  <c r="F49" i="39"/>
  <c r="G40" i="37"/>
  <c r="F40" i="37"/>
  <c r="H56" i="38"/>
  <c r="AW46" i="16"/>
  <c r="AT46" i="16"/>
  <c r="H31" i="33"/>
  <c r="G31" i="33"/>
  <c r="F31" i="33"/>
  <c r="O17" i="40"/>
  <c r="O36" i="40"/>
  <c r="O46" i="40"/>
  <c r="H49" i="40"/>
  <c r="G49" i="40"/>
  <c r="F49" i="40"/>
  <c r="O33" i="39"/>
  <c r="O20" i="39"/>
  <c r="O10" i="39"/>
  <c r="H13" i="39"/>
  <c r="G13" i="39"/>
  <c r="F13" i="39"/>
  <c r="O35" i="39"/>
  <c r="O35" i="40"/>
  <c r="H40" i="40"/>
  <c r="O16" i="40"/>
  <c r="O32" i="39"/>
  <c r="O17" i="39"/>
  <c r="O19" i="39"/>
  <c r="H22" i="39"/>
  <c r="G22" i="39"/>
  <c r="F22" i="39"/>
  <c r="O29" i="39"/>
  <c r="H31" i="39"/>
  <c r="G31" i="39"/>
  <c r="F31" i="39"/>
  <c r="AI44" i="16"/>
  <c r="AG44" i="16"/>
  <c r="U47" i="16"/>
  <c r="W47" i="16"/>
  <c r="H49" i="33"/>
  <c r="G49" i="33"/>
  <c r="F49" i="33"/>
  <c r="P54" i="36"/>
  <c r="AF44" i="16"/>
  <c r="H49" i="37"/>
  <c r="G49" i="37"/>
  <c r="F49" i="37"/>
  <c r="O24" i="36"/>
  <c r="O20" i="36"/>
  <c r="H22" i="36"/>
  <c r="G22" i="36"/>
  <c r="F22" i="36"/>
  <c r="O28" i="36"/>
  <c r="O10" i="36"/>
  <c r="O41" i="36"/>
  <c r="O38" i="36"/>
  <c r="O9" i="36"/>
  <c r="O11" i="36"/>
  <c r="H13" i="36"/>
  <c r="G13" i="36"/>
  <c r="F13" i="36"/>
  <c r="O29" i="36"/>
  <c r="O42" i="36"/>
  <c r="O33" i="36"/>
  <c r="O35" i="36"/>
  <c r="O37" i="36"/>
  <c r="H40" i="36"/>
  <c r="H58" i="36"/>
  <c r="G58" i="36"/>
  <c r="F58" i="36"/>
  <c r="O45" i="36"/>
  <c r="H31" i="37"/>
  <c r="G31" i="37"/>
  <c r="F31" i="37"/>
  <c r="BF32" i="16"/>
  <c r="BF36" i="16"/>
  <c r="U59" i="40"/>
  <c r="T54" i="37"/>
  <c r="T54" i="38"/>
  <c r="S54" i="37"/>
  <c r="V54" i="36"/>
  <c r="R57" i="40"/>
  <c r="S59" i="40"/>
  <c r="H40" i="4"/>
  <c r="Q59" i="40"/>
  <c r="BB32" i="16"/>
  <c r="BB36" i="16"/>
  <c r="BA32" i="16"/>
  <c r="BA36" i="16"/>
  <c r="P59" i="40"/>
  <c r="BE32" i="16"/>
  <c r="BE36" i="16"/>
  <c r="T59" i="40"/>
  <c r="AH44" i="16"/>
  <c r="H13" i="37"/>
  <c r="G13" i="37"/>
  <c r="F13" i="37"/>
  <c r="U54" i="33"/>
  <c r="R54" i="41"/>
  <c r="P54" i="37"/>
  <c r="T54" i="40"/>
  <c r="H49" i="4"/>
  <c r="G49" i="4"/>
  <c r="F49" i="4"/>
  <c r="AP42" i="16"/>
  <c r="AP46" i="16"/>
  <c r="AM44" i="16"/>
  <c r="V54" i="4"/>
  <c r="P54" i="39"/>
  <c r="Q54" i="4"/>
  <c r="Q54" i="37"/>
  <c r="P54" i="4"/>
  <c r="U46" i="16"/>
  <c r="Y46" i="16"/>
  <c r="T47" i="16"/>
  <c r="Y47" i="16"/>
  <c r="V47" i="16"/>
  <c r="T46" i="16"/>
  <c r="V46" i="16"/>
  <c r="X46" i="16"/>
  <c r="X47" i="16"/>
  <c r="V54" i="39"/>
  <c r="U54" i="39"/>
  <c r="R54" i="39"/>
  <c r="Q54" i="40"/>
  <c r="S54" i="33"/>
  <c r="T54" i="41"/>
  <c r="T54" i="39"/>
  <c r="R54" i="36"/>
  <c r="Q54" i="41"/>
  <c r="S54" i="38"/>
  <c r="U54" i="38"/>
  <c r="R54" i="38"/>
  <c r="Q54" i="38"/>
  <c r="P54" i="38"/>
  <c r="V54" i="38"/>
  <c r="V54" i="37"/>
  <c r="W46" i="16"/>
  <c r="R54" i="4"/>
  <c r="U54" i="37"/>
  <c r="S54" i="4"/>
  <c r="P22" i="16"/>
  <c r="F24" i="16"/>
  <c r="P54" i="33"/>
  <c r="Q54" i="33"/>
  <c r="T54" i="33"/>
  <c r="V54" i="33"/>
  <c r="R54" i="33"/>
  <c r="T54" i="4"/>
  <c r="S54" i="36"/>
  <c r="V54" i="40"/>
  <c r="S54" i="41"/>
  <c r="Q54" i="39"/>
  <c r="S54" i="39"/>
  <c r="P54" i="40"/>
  <c r="U54" i="41"/>
  <c r="T54" i="36"/>
  <c r="U54" i="36"/>
  <c r="V54" i="41"/>
  <c r="R54" i="40"/>
  <c r="S54" i="40"/>
  <c r="AN44" i="16"/>
  <c r="G40" i="36"/>
  <c r="F40" i="36"/>
  <c r="G40" i="40"/>
  <c r="F40" i="40"/>
  <c r="AV46" i="16"/>
  <c r="AW44" i="16"/>
  <c r="H56" i="37"/>
  <c r="G40" i="4"/>
  <c r="F40" i="4"/>
  <c r="H56" i="4"/>
  <c r="AP44" i="16"/>
  <c r="AR42" i="16"/>
  <c r="L59" i="40"/>
  <c r="H31" i="36"/>
  <c r="G31" i="36"/>
  <c r="F31" i="36"/>
  <c r="P26" i="38"/>
  <c r="Q26" i="38"/>
  <c r="P44" i="38"/>
  <c r="Q44" i="38"/>
  <c r="P20" i="38"/>
  <c r="Q20" i="38"/>
  <c r="P23" i="38"/>
  <c r="Q23" i="38"/>
  <c r="P24" i="38"/>
  <c r="Q24" i="38"/>
  <c r="P41" i="38"/>
  <c r="Q41" i="38"/>
  <c r="P27" i="38"/>
  <c r="Q27" i="38"/>
  <c r="P36" i="38"/>
  <c r="Q36" i="38"/>
  <c r="P28" i="38"/>
  <c r="Q28" i="38"/>
  <c r="P33" i="38"/>
  <c r="Q33" i="38"/>
  <c r="P6" i="38"/>
  <c r="Q6" i="38"/>
  <c r="P50" i="38"/>
  <c r="Q50" i="38"/>
  <c r="P15" i="38"/>
  <c r="Q15" i="38"/>
  <c r="P43" i="38"/>
  <c r="Q43" i="38"/>
  <c r="P14" i="38"/>
  <c r="Q14" i="38"/>
  <c r="P18" i="38"/>
  <c r="Q18" i="38"/>
  <c r="P47" i="38"/>
  <c r="Q47" i="38"/>
  <c r="P51" i="38"/>
  <c r="Q51" i="38"/>
  <c r="P17" i="38"/>
  <c r="Q17" i="38"/>
  <c r="G56" i="38"/>
  <c r="F56" i="38"/>
  <c r="P34" i="38"/>
  <c r="Q34" i="38"/>
  <c r="P9" i="38"/>
  <c r="Q9" i="38"/>
  <c r="P45" i="38"/>
  <c r="Q45" i="38"/>
  <c r="P32" i="38"/>
  <c r="Q32" i="38"/>
  <c r="P4" i="38"/>
  <c r="Q4" i="38"/>
  <c r="P35" i="38"/>
  <c r="Q35" i="38"/>
  <c r="P42" i="38"/>
  <c r="Q42" i="38"/>
  <c r="P10" i="38"/>
  <c r="Q10" i="38"/>
  <c r="P29" i="38"/>
  <c r="Q29" i="38"/>
  <c r="P38" i="38"/>
  <c r="Q38" i="38"/>
  <c r="P37" i="38"/>
  <c r="Q37" i="38"/>
  <c r="P16" i="38"/>
  <c r="Q16" i="38"/>
  <c r="P11" i="38"/>
  <c r="Q11" i="38"/>
  <c r="P19" i="38"/>
  <c r="Q19" i="38"/>
  <c r="P7" i="38"/>
  <c r="Q7" i="38"/>
  <c r="P46" i="38"/>
  <c r="Q46" i="38"/>
  <c r="P25" i="38"/>
  <c r="Q25" i="38"/>
  <c r="P5" i="38"/>
  <c r="Q5" i="38"/>
  <c r="P8" i="38"/>
  <c r="Q8" i="38"/>
  <c r="BC32" i="16"/>
  <c r="BC36" i="16"/>
  <c r="R59" i="40"/>
  <c r="H56" i="33"/>
  <c r="AQ44" i="16"/>
  <c r="AG45" i="16"/>
  <c r="N5" i="16"/>
  <c r="N7" i="16"/>
  <c r="N4" i="16"/>
  <c r="AH45" i="16"/>
  <c r="O5" i="16"/>
  <c r="O7" i="16"/>
  <c r="O4" i="16"/>
  <c r="AI45" i="16"/>
  <c r="P5" i="16"/>
  <c r="P7" i="16"/>
  <c r="P4" i="16"/>
  <c r="AF45" i="16"/>
  <c r="M5" i="16"/>
  <c r="M7" i="16"/>
  <c r="M4" i="16"/>
  <c r="AJ45" i="16"/>
  <c r="Q5" i="16"/>
  <c r="Q7" i="16"/>
  <c r="Q4" i="16"/>
  <c r="H40" i="39"/>
  <c r="AO44" i="16"/>
  <c r="H22" i="40"/>
  <c r="G22" i="40"/>
  <c r="F22" i="40"/>
  <c r="H49" i="36"/>
  <c r="G49" i="36"/>
  <c r="F49" i="36"/>
  <c r="AT44" i="16"/>
  <c r="AS44" i="16"/>
  <c r="W32" i="16"/>
  <c r="Y32" i="16"/>
  <c r="T43" i="16"/>
  <c r="AA43" i="16"/>
  <c r="G56" i="37"/>
  <c r="F56" i="37"/>
  <c r="P33" i="37"/>
  <c r="Q33" i="37"/>
  <c r="P47" i="37"/>
  <c r="Q47" i="37"/>
  <c r="P37" i="37"/>
  <c r="Q37" i="37"/>
  <c r="P24" i="37"/>
  <c r="Q24" i="37"/>
  <c r="P28" i="37"/>
  <c r="Q28" i="37"/>
  <c r="P38" i="37"/>
  <c r="Q38" i="37"/>
  <c r="P50" i="37"/>
  <c r="Q50" i="37"/>
  <c r="P23" i="37"/>
  <c r="Q23" i="37"/>
  <c r="P43" i="37"/>
  <c r="Q43" i="37"/>
  <c r="P51" i="37"/>
  <c r="Q51" i="37"/>
  <c r="P27" i="37"/>
  <c r="Q27" i="37"/>
  <c r="P6" i="37"/>
  <c r="Q6" i="37"/>
  <c r="P20" i="37"/>
  <c r="Q20" i="37"/>
  <c r="P32" i="37"/>
  <c r="Q32" i="37"/>
  <c r="P44" i="37"/>
  <c r="Q44" i="37"/>
  <c r="P26" i="37"/>
  <c r="Q26" i="37"/>
  <c r="P45" i="37"/>
  <c r="Q45" i="37"/>
  <c r="P29" i="37"/>
  <c r="Q29" i="37"/>
  <c r="P16" i="37"/>
  <c r="Q16" i="37"/>
  <c r="P11" i="37"/>
  <c r="Q11" i="37"/>
  <c r="P41" i="37"/>
  <c r="Q41" i="37"/>
  <c r="P17" i="37"/>
  <c r="Q17" i="37"/>
  <c r="P19" i="37"/>
  <c r="Q19" i="37"/>
  <c r="P34" i="37"/>
  <c r="Q34" i="37"/>
  <c r="P46" i="37"/>
  <c r="Q46" i="37"/>
  <c r="P5" i="37"/>
  <c r="Q5" i="37"/>
  <c r="P9" i="37"/>
  <c r="Q9" i="37"/>
  <c r="P42" i="37"/>
  <c r="Q42" i="37"/>
  <c r="P10" i="37"/>
  <c r="Q10" i="37"/>
  <c r="P4" i="37"/>
  <c r="Q4" i="37"/>
  <c r="P15" i="37"/>
  <c r="Q15" i="37"/>
  <c r="P14" i="37"/>
  <c r="Q14" i="37"/>
  <c r="P8" i="37"/>
  <c r="Q8" i="37"/>
  <c r="P35" i="37"/>
  <c r="Q35" i="37"/>
  <c r="P36" i="37"/>
  <c r="Q36" i="37"/>
  <c r="P25" i="37"/>
  <c r="Q25" i="37"/>
  <c r="P18" i="37"/>
  <c r="Q18" i="37"/>
  <c r="P7" i="37"/>
  <c r="Q7" i="37"/>
  <c r="AU44" i="16"/>
  <c r="AV44" i="16"/>
  <c r="AP45" i="16"/>
  <c r="AW45" i="16"/>
  <c r="K5" i="16"/>
  <c r="K7" i="16"/>
  <c r="K4" i="16"/>
  <c r="AV45" i="16"/>
  <c r="J5" i="16"/>
  <c r="J7" i="16"/>
  <c r="J4" i="16"/>
  <c r="AQ45" i="16"/>
  <c r="AK42" i="16"/>
  <c r="AK46" i="16"/>
  <c r="L58" i="40"/>
  <c r="P27" i="33"/>
  <c r="Q27" i="33"/>
  <c r="P24" i="33"/>
  <c r="Q24" i="33"/>
  <c r="P7" i="33"/>
  <c r="Q7" i="33"/>
  <c r="G56" i="33"/>
  <c r="F56" i="33"/>
  <c r="P33" i="33"/>
  <c r="Q33" i="33"/>
  <c r="P46" i="33"/>
  <c r="Q46" i="33"/>
  <c r="P11" i="33"/>
  <c r="Q11" i="33"/>
  <c r="P8" i="33"/>
  <c r="Q8" i="33"/>
  <c r="P36" i="33"/>
  <c r="Q36" i="33"/>
  <c r="P9" i="33"/>
  <c r="Q9" i="33"/>
  <c r="P51" i="33"/>
  <c r="Q51" i="33"/>
  <c r="P47" i="33"/>
  <c r="Q47" i="33"/>
  <c r="P50" i="33"/>
  <c r="Q50" i="33"/>
  <c r="P34" i="33"/>
  <c r="Q34" i="33"/>
  <c r="P44" i="33"/>
  <c r="Q44" i="33"/>
  <c r="P37" i="33"/>
  <c r="Q37" i="33"/>
  <c r="P43" i="33"/>
  <c r="Q43" i="33"/>
  <c r="P42" i="33"/>
  <c r="Q42" i="33"/>
  <c r="P23" i="33"/>
  <c r="Q23" i="33"/>
  <c r="P16" i="33"/>
  <c r="Q16" i="33"/>
  <c r="P14" i="33"/>
  <c r="Q14" i="33"/>
  <c r="P20" i="33"/>
  <c r="Q20" i="33"/>
  <c r="P6" i="33"/>
  <c r="Q6" i="33"/>
  <c r="P26" i="33"/>
  <c r="Q26" i="33"/>
  <c r="P17" i="33"/>
  <c r="Q17" i="33"/>
  <c r="P32" i="33"/>
  <c r="Q32" i="33"/>
  <c r="P19" i="33"/>
  <c r="Q19" i="33"/>
  <c r="P10" i="33"/>
  <c r="Q10" i="33"/>
  <c r="P25" i="33"/>
  <c r="Q25" i="33"/>
  <c r="P29" i="33"/>
  <c r="Q29" i="33"/>
  <c r="P18" i="33"/>
  <c r="Q18" i="33"/>
  <c r="P5" i="33"/>
  <c r="Q5" i="33"/>
  <c r="P28" i="33"/>
  <c r="Q28" i="33"/>
  <c r="P35" i="33"/>
  <c r="Q35" i="33"/>
  <c r="P38" i="33"/>
  <c r="Q38" i="33"/>
  <c r="P45" i="33"/>
  <c r="Q45" i="33"/>
  <c r="P15" i="33"/>
  <c r="Q15" i="33"/>
  <c r="P4" i="33"/>
  <c r="Q4" i="33"/>
  <c r="P41" i="33"/>
  <c r="Q41" i="33"/>
  <c r="H56" i="40"/>
  <c r="H56" i="39"/>
  <c r="G40" i="39"/>
  <c r="F40" i="39"/>
  <c r="H56" i="36"/>
  <c r="P45" i="4"/>
  <c r="Q45" i="4"/>
  <c r="P25" i="4"/>
  <c r="Q25" i="4"/>
  <c r="P34" i="4"/>
  <c r="Q34" i="4"/>
  <c r="P14" i="4"/>
  <c r="Q14" i="4"/>
  <c r="P10" i="4"/>
  <c r="Q10" i="4"/>
  <c r="P36" i="4"/>
  <c r="Q36" i="4"/>
  <c r="P47" i="4"/>
  <c r="Q47" i="4"/>
  <c r="P9" i="4"/>
  <c r="Q9" i="4"/>
  <c r="P5" i="4"/>
  <c r="Q5" i="4"/>
  <c r="P20" i="4"/>
  <c r="Q20" i="4"/>
  <c r="P42" i="4"/>
  <c r="Q42" i="4"/>
  <c r="G56" i="4"/>
  <c r="F56" i="4"/>
  <c r="P38" i="4"/>
  <c r="Q38" i="4"/>
  <c r="P27" i="4"/>
  <c r="Q27" i="4"/>
  <c r="P37" i="4"/>
  <c r="Q37" i="4"/>
  <c r="P33" i="4"/>
  <c r="Q33" i="4"/>
  <c r="P26" i="4"/>
  <c r="Q26" i="4"/>
  <c r="P6" i="4"/>
  <c r="Q6" i="4"/>
  <c r="P29" i="4"/>
  <c r="Q29" i="4"/>
  <c r="P18" i="4"/>
  <c r="Q18" i="4"/>
  <c r="P41" i="4"/>
  <c r="Q41" i="4"/>
  <c r="P23" i="4"/>
  <c r="Q23" i="4"/>
  <c r="P16" i="4"/>
  <c r="Q16" i="4"/>
  <c r="P46" i="4"/>
  <c r="Q46" i="4"/>
  <c r="P28" i="4"/>
  <c r="Q28" i="4"/>
  <c r="P15" i="4"/>
  <c r="Q15" i="4"/>
  <c r="P50" i="4"/>
  <c r="Q50" i="4"/>
  <c r="P24" i="4"/>
  <c r="Q24" i="4"/>
  <c r="P32" i="4"/>
  <c r="Q32" i="4"/>
  <c r="P19" i="4"/>
  <c r="Q19" i="4"/>
  <c r="P35" i="4"/>
  <c r="Q35" i="4"/>
  <c r="P51" i="4"/>
  <c r="Q51" i="4"/>
  <c r="P11" i="4"/>
  <c r="Q11" i="4"/>
  <c r="P43" i="4"/>
  <c r="Q43" i="4"/>
  <c r="P4" i="4"/>
  <c r="Q4" i="4"/>
  <c r="P44" i="4"/>
  <c r="Q44" i="4"/>
  <c r="P7" i="4"/>
  <c r="Q7" i="4"/>
  <c r="P17" i="4"/>
  <c r="Q17" i="4"/>
  <c r="P8" i="4"/>
  <c r="Q8" i="4"/>
  <c r="AA32" i="16"/>
  <c r="AD33" i="16"/>
  <c r="AU45" i="16"/>
  <c r="I5" i="16"/>
  <c r="I7" i="16"/>
  <c r="I4" i="16"/>
  <c r="AO45" i="16"/>
  <c r="AS45" i="16"/>
  <c r="G5" i="16"/>
  <c r="G7" i="16"/>
  <c r="G4" i="16"/>
  <c r="P45" i="39"/>
  <c r="Q45" i="39"/>
  <c r="P19" i="39"/>
  <c r="Q19" i="39"/>
  <c r="P18" i="39"/>
  <c r="Q18" i="39"/>
  <c r="P35" i="39"/>
  <c r="Q35" i="39"/>
  <c r="P16" i="39"/>
  <c r="Q16" i="39"/>
  <c r="P46" i="39"/>
  <c r="Q46" i="39"/>
  <c r="P10" i="39"/>
  <c r="Q10" i="39"/>
  <c r="P9" i="39"/>
  <c r="Q9" i="39"/>
  <c r="G56" i="39"/>
  <c r="F56" i="39"/>
  <c r="P6" i="39"/>
  <c r="Q6" i="39"/>
  <c r="P38" i="39"/>
  <c r="Q38" i="39"/>
  <c r="P11" i="39"/>
  <c r="Q11" i="39"/>
  <c r="P27" i="39"/>
  <c r="Q27" i="39"/>
  <c r="P36" i="39"/>
  <c r="Q36" i="39"/>
  <c r="P4" i="39"/>
  <c r="Q4" i="39"/>
  <c r="P24" i="39"/>
  <c r="Q24" i="39"/>
  <c r="P23" i="39"/>
  <c r="Q23" i="39"/>
  <c r="P26" i="39"/>
  <c r="Q26" i="39"/>
  <c r="P37" i="39"/>
  <c r="Q37" i="39"/>
  <c r="P14" i="39"/>
  <c r="Q14" i="39"/>
  <c r="P47" i="39"/>
  <c r="Q47" i="39"/>
  <c r="P33" i="39"/>
  <c r="Q33" i="39"/>
  <c r="P20" i="39"/>
  <c r="Q20" i="39"/>
  <c r="P34" i="39"/>
  <c r="Q34" i="39"/>
  <c r="P41" i="39"/>
  <c r="Q41" i="39"/>
  <c r="P32" i="39"/>
  <c r="Q32" i="39"/>
  <c r="P5" i="39"/>
  <c r="Q5" i="39"/>
  <c r="P43" i="39"/>
  <c r="Q43" i="39"/>
  <c r="P8" i="39"/>
  <c r="Q8" i="39"/>
  <c r="P7" i="39"/>
  <c r="Q7" i="39"/>
  <c r="P17" i="39"/>
  <c r="Q17" i="39"/>
  <c r="P15" i="39"/>
  <c r="Q15" i="39"/>
  <c r="P51" i="39"/>
  <c r="Q51" i="39"/>
  <c r="P44" i="39"/>
  <c r="Q44" i="39"/>
  <c r="P29" i="39"/>
  <c r="Q29" i="39"/>
  <c r="P50" i="39"/>
  <c r="Q50" i="39"/>
  <c r="P25" i="39"/>
  <c r="Q25" i="39"/>
  <c r="P42" i="39"/>
  <c r="Q42" i="39"/>
  <c r="P28" i="39"/>
  <c r="Q28" i="39"/>
  <c r="AN45" i="16"/>
  <c r="P11" i="40"/>
  <c r="Q11" i="40"/>
  <c r="P35" i="40"/>
  <c r="Q35" i="40"/>
  <c r="P24" i="40"/>
  <c r="Q24" i="40"/>
  <c r="P10" i="40"/>
  <c r="Q10" i="40"/>
  <c r="P18" i="40"/>
  <c r="Q18" i="40"/>
  <c r="G56" i="40"/>
  <c r="F56" i="40"/>
  <c r="P41" i="40"/>
  <c r="Q41" i="40"/>
  <c r="P17" i="40"/>
  <c r="Q17" i="40"/>
  <c r="P50" i="40"/>
  <c r="Q50" i="40"/>
  <c r="P4" i="40"/>
  <c r="Q4" i="40"/>
  <c r="P42" i="40"/>
  <c r="Q42" i="40"/>
  <c r="P23" i="40"/>
  <c r="Q23" i="40"/>
  <c r="P29" i="40"/>
  <c r="Q29" i="40"/>
  <c r="P33" i="40"/>
  <c r="Q33" i="40"/>
  <c r="P9" i="40"/>
  <c r="Q9" i="40"/>
  <c r="P5" i="40"/>
  <c r="Q5" i="40"/>
  <c r="P37" i="40"/>
  <c r="Q37" i="40"/>
  <c r="P44" i="40"/>
  <c r="Q44" i="40"/>
  <c r="P8" i="40"/>
  <c r="Q8" i="40"/>
  <c r="P28" i="40"/>
  <c r="Q28" i="40"/>
  <c r="P45" i="40"/>
  <c r="Q45" i="40"/>
  <c r="P25" i="40"/>
  <c r="Q25" i="40"/>
  <c r="P15" i="40"/>
  <c r="Q15" i="40"/>
  <c r="P46" i="40"/>
  <c r="Q46" i="40"/>
  <c r="P6" i="40"/>
  <c r="Q6" i="40"/>
  <c r="P7" i="40"/>
  <c r="Q7" i="40"/>
  <c r="P38" i="40"/>
  <c r="Q38" i="40"/>
  <c r="P34" i="40"/>
  <c r="Q34" i="40"/>
  <c r="P26" i="40"/>
  <c r="Q26" i="40"/>
  <c r="P16" i="40"/>
  <c r="Q16" i="40"/>
  <c r="P14" i="40"/>
  <c r="Q14" i="40"/>
  <c r="P36" i="40"/>
  <c r="Q36" i="40"/>
  <c r="P43" i="40"/>
  <c r="Q43" i="40"/>
  <c r="P47" i="40"/>
  <c r="Q47" i="40"/>
  <c r="P51" i="40"/>
  <c r="Q51" i="40"/>
  <c r="P20" i="40"/>
  <c r="Q20" i="40"/>
  <c r="P27" i="40"/>
  <c r="Q27" i="40"/>
  <c r="P19" i="40"/>
  <c r="Q19" i="40"/>
  <c r="P32" i="40"/>
  <c r="Q32" i="40"/>
  <c r="AM45" i="16"/>
  <c r="Q2" i="16"/>
  <c r="P18" i="36"/>
  <c r="Q18" i="36"/>
  <c r="P25" i="36"/>
  <c r="Q25" i="36"/>
  <c r="P5" i="36"/>
  <c r="Q5" i="36"/>
  <c r="P15" i="36"/>
  <c r="Q15" i="36"/>
  <c r="P43" i="36"/>
  <c r="Q43" i="36"/>
  <c r="P8" i="36"/>
  <c r="Q8" i="36"/>
  <c r="P44" i="36"/>
  <c r="Q44" i="36"/>
  <c r="P17" i="36"/>
  <c r="Q17" i="36"/>
  <c r="P28" i="36"/>
  <c r="Q28" i="36"/>
  <c r="P7" i="36"/>
  <c r="Q7" i="36"/>
  <c r="P27" i="36"/>
  <c r="Q27" i="36"/>
  <c r="P9" i="36"/>
  <c r="Q9" i="36"/>
  <c r="P4" i="36"/>
  <c r="Q4" i="36"/>
  <c r="P47" i="36"/>
  <c r="Q47" i="36"/>
  <c r="P33" i="36"/>
  <c r="Q33" i="36"/>
  <c r="P36" i="36"/>
  <c r="Q36" i="36"/>
  <c r="G56" i="36"/>
  <c r="F56" i="36"/>
  <c r="P10" i="36"/>
  <c r="Q10" i="36"/>
  <c r="P37" i="36"/>
  <c r="Q37" i="36"/>
  <c r="P23" i="36"/>
  <c r="Q23" i="36"/>
  <c r="P19" i="36"/>
  <c r="Q19" i="36"/>
  <c r="P41" i="36"/>
  <c r="Q41" i="36"/>
  <c r="P29" i="36"/>
  <c r="Q29" i="36"/>
  <c r="P50" i="36"/>
  <c r="Q50" i="36"/>
  <c r="P26" i="36"/>
  <c r="Q26" i="36"/>
  <c r="P46" i="36"/>
  <c r="Q46" i="36"/>
  <c r="P20" i="36"/>
  <c r="Q20" i="36"/>
  <c r="P11" i="36"/>
  <c r="Q11" i="36"/>
  <c r="P34" i="36"/>
  <c r="Q34" i="36"/>
  <c r="P6" i="36"/>
  <c r="Q6" i="36"/>
  <c r="P24" i="36"/>
  <c r="Q24" i="36"/>
  <c r="P14" i="36"/>
  <c r="Q14" i="36"/>
  <c r="P32" i="36"/>
  <c r="Q32" i="36"/>
  <c r="P35" i="36"/>
  <c r="Q35" i="36"/>
  <c r="P16" i="36"/>
  <c r="Q16" i="36"/>
  <c r="P51" i="36"/>
  <c r="Q51" i="36"/>
  <c r="P38" i="36"/>
  <c r="Q38" i="36"/>
  <c r="P45" i="36"/>
  <c r="Q45" i="36"/>
  <c r="P42" i="36"/>
  <c r="Q42" i="36"/>
  <c r="AT45" i="16"/>
  <c r="H5" i="16"/>
  <c r="H7" i="16"/>
  <c r="H4" i="16"/>
  <c r="Y33" i="16"/>
  <c r="W33" i="16"/>
  <c r="AD34" i="16"/>
  <c r="AA33" i="16"/>
  <c r="AA23" i="40"/>
  <c r="AD35" i="16"/>
  <c r="W34" i="16"/>
  <c r="Y34" i="16"/>
  <c r="T42" i="16"/>
  <c r="AA42" i="16"/>
  <c r="AA37" i="40"/>
  <c r="AA34" i="16"/>
  <c r="AA24" i="40"/>
  <c r="AD36" i="16"/>
  <c r="Y35" i="16"/>
  <c r="W35" i="16"/>
  <c r="AA35" i="16"/>
  <c r="AA25" i="40"/>
  <c r="D16" i="16"/>
  <c r="D15" i="16"/>
  <c r="Y36" i="16"/>
  <c r="W36" i="16"/>
  <c r="AD37" i="16"/>
  <c r="AA26" i="40"/>
  <c r="AA36" i="16"/>
  <c r="Y37" i="16"/>
  <c r="W37" i="16"/>
  <c r="AD38" i="16"/>
  <c r="AA37" i="16"/>
  <c r="AA27" i="40"/>
  <c r="W38" i="16"/>
  <c r="Y38" i="16"/>
  <c r="AD39" i="16"/>
  <c r="W39" i="16"/>
  <c r="Y39" i="16"/>
  <c r="AD40" i="16"/>
  <c r="AA38" i="16"/>
  <c r="AD41" i="16"/>
  <c r="W40" i="16"/>
  <c r="Y40" i="16"/>
  <c r="AA39" i="16"/>
  <c r="AA40" i="16"/>
  <c r="AD42" i="16"/>
  <c r="Z42" i="16"/>
  <c r="H43" i="16"/>
  <c r="W41" i="16"/>
  <c r="Y41" i="16"/>
  <c r="AA41" i="16"/>
  <c r="H44" i="16"/>
  <c r="K22" i="16"/>
  <c r="M22" i="16"/>
  <c r="N22" i="16"/>
  <c r="O22" i="16"/>
  <c r="K24" i="16"/>
  <c r="M24" i="16"/>
  <c r="O24" i="16"/>
  <c r="N24" i="16"/>
  <c r="K23" i="16"/>
  <c r="H24" i="16"/>
  <c r="AA36" i="40"/>
  <c r="AA43" i="40"/>
  <c r="AA46" i="40"/>
  <c r="AA50" i="40"/>
  <c r="G55" i="40"/>
  <c r="F55" i="40"/>
  <c r="H58" i="40"/>
  <c r="G58" i="40"/>
  <c r="F58" i="40"/>
  <c r="H3" i="41"/>
  <c r="D9" i="16"/>
  <c r="O10" i="41"/>
  <c r="O7" i="41"/>
  <c r="O42" i="41"/>
  <c r="O32" i="41"/>
  <c r="O33" i="41"/>
  <c r="O34" i="41"/>
  <c r="O35" i="41"/>
  <c r="O36" i="41"/>
  <c r="O37" i="41"/>
  <c r="O38" i="41"/>
  <c r="H40" i="41"/>
  <c r="O17" i="41"/>
  <c r="O19" i="41"/>
  <c r="H58" i="41"/>
  <c r="G58" i="41"/>
  <c r="F58" i="41"/>
  <c r="O23" i="41"/>
  <c r="O11" i="41"/>
  <c r="O20" i="41"/>
  <c r="O28" i="41"/>
  <c r="O29" i="41"/>
  <c r="O6" i="41"/>
  <c r="O44" i="41"/>
  <c r="O15" i="41"/>
  <c r="O43" i="41"/>
  <c r="O25" i="41"/>
  <c r="O26" i="41"/>
  <c r="O8" i="41"/>
  <c r="O9" i="41"/>
  <c r="O16" i="41"/>
  <c r="O14" i="41"/>
  <c r="O27" i="41"/>
  <c r="O24" i="41"/>
  <c r="O18" i="41"/>
  <c r="O41" i="41"/>
  <c r="AE36" i="4"/>
  <c r="AG34" i="4"/>
  <c r="AF34" i="4"/>
  <c r="H31" i="41"/>
  <c r="G31" i="41"/>
  <c r="F31" i="41"/>
  <c r="H49" i="41"/>
  <c r="G49" i="41"/>
  <c r="F49" i="41"/>
  <c r="H22" i="41"/>
  <c r="G22" i="41"/>
  <c r="F22" i="41"/>
  <c r="AG36" i="4"/>
  <c r="AF36" i="4"/>
  <c r="G40" i="41"/>
  <c r="F40" i="41"/>
  <c r="H13" i="41"/>
  <c r="G13" i="41"/>
  <c r="F13" i="41"/>
  <c r="H56" i="41"/>
  <c r="P25" i="41"/>
  <c r="Q25" i="41"/>
  <c r="P28" i="41"/>
  <c r="Q28" i="41"/>
  <c r="P36" i="41"/>
  <c r="Q36" i="41"/>
  <c r="P18" i="41"/>
  <c r="Q18" i="41"/>
  <c r="P17" i="41"/>
  <c r="Q17" i="41"/>
  <c r="P45" i="41"/>
  <c r="Q45" i="41"/>
  <c r="P7" i="41"/>
  <c r="Q7" i="41"/>
  <c r="P4" i="41"/>
  <c r="Q4" i="41"/>
  <c r="P44" i="41"/>
  <c r="Q44" i="41"/>
  <c r="P14" i="41"/>
  <c r="Q14" i="41"/>
  <c r="P19" i="41"/>
  <c r="Q19" i="41"/>
  <c r="P24" i="41"/>
  <c r="Q24" i="41"/>
  <c r="G56" i="41"/>
  <c r="F56" i="41"/>
  <c r="P5" i="41"/>
  <c r="Q5" i="41"/>
  <c r="P34" i="41"/>
  <c r="Q34" i="41"/>
  <c r="P20" i="41"/>
  <c r="Q20" i="41"/>
  <c r="P46" i="41"/>
  <c r="Q46" i="41"/>
  <c r="P38" i="41"/>
  <c r="Q38" i="41"/>
  <c r="P15" i="41"/>
  <c r="Q15" i="41"/>
  <c r="P9" i="41"/>
  <c r="Q9" i="41"/>
  <c r="P41" i="41"/>
  <c r="Q41" i="41"/>
  <c r="P32" i="41"/>
  <c r="Q32" i="41"/>
  <c r="P29" i="41"/>
  <c r="Q29" i="41"/>
  <c r="P47" i="41"/>
  <c r="Q47" i="41"/>
  <c r="P51" i="41"/>
  <c r="Q51" i="41"/>
  <c r="P50" i="41"/>
  <c r="Q50" i="41"/>
  <c r="P23" i="41"/>
  <c r="Q23" i="41"/>
  <c r="P16" i="41"/>
  <c r="Q16" i="41"/>
  <c r="P33" i="41"/>
  <c r="Q33" i="41"/>
  <c r="P26" i="41"/>
  <c r="Q26" i="41"/>
  <c r="P43" i="41"/>
  <c r="Q43" i="41"/>
  <c r="P10" i="41"/>
  <c r="Q10" i="41"/>
  <c r="P8" i="41"/>
  <c r="Q8" i="41"/>
  <c r="P42" i="41"/>
  <c r="Q42" i="41"/>
  <c r="P11" i="41"/>
  <c r="Q11" i="41"/>
  <c r="P6" i="41"/>
  <c r="Q6" i="41"/>
  <c r="P35" i="41"/>
  <c r="Q35" i="41"/>
  <c r="P27" i="41"/>
  <c r="Q27" i="41"/>
  <c r="P37" i="41"/>
  <c r="Q37" i="41"/>
  <c r="AA72" i="16"/>
  <c r="AL72" i="16"/>
  <c r="AA54" i="16"/>
  <c r="AL54" i="16"/>
  <c r="AA68" i="16"/>
  <c r="AL68" i="16"/>
  <c r="AA63" i="16"/>
  <c r="AL63" i="16"/>
  <c r="AA52" i="16"/>
  <c r="AL52" i="16"/>
  <c r="AA70" i="16"/>
  <c r="AL70" i="16"/>
  <c r="AA74" i="16"/>
  <c r="AL74" i="16"/>
  <c r="AA75" i="16"/>
  <c r="AL75" i="16"/>
  <c r="AA60" i="16"/>
  <c r="AL60" i="16"/>
  <c r="AA57" i="16"/>
  <c r="AL57" i="16"/>
  <c r="AA62" i="16"/>
  <c r="AL62" i="16"/>
  <c r="AL53" i="16"/>
  <c r="AA58" i="16"/>
  <c r="AL58" i="16"/>
  <c r="AA65" i="16"/>
  <c r="AL65" i="16"/>
  <c r="AA71" i="16"/>
  <c r="AL71" i="16"/>
  <c r="AA59" i="16"/>
  <c r="AL59" i="16"/>
  <c r="AA67" i="16"/>
  <c r="AL67" i="16"/>
  <c r="AA73" i="16"/>
  <c r="AL73" i="16"/>
  <c r="AA56" i="16"/>
  <c r="AL56" i="16"/>
  <c r="AA66" i="16"/>
  <c r="AL66" i="16"/>
  <c r="AA69" i="16"/>
  <c r="AL69" i="16"/>
  <c r="AA55" i="16"/>
  <c r="AL55" i="16"/>
  <c r="AA61" i="16"/>
  <c r="AL61" i="16"/>
  <c r="AA64" i="16"/>
  <c r="AL64" i="16"/>
  <c r="AA77" i="16"/>
  <c r="AD77" i="16"/>
  <c r="W52" i="16"/>
  <c r="W51" i="16"/>
  <c r="Z77" i="16"/>
  <c r="AA76" i="16"/>
  <c r="AH76" i="16"/>
  <c r="Z76" i="16"/>
  <c r="AH75" i="16"/>
  <c r="AD75" i="16"/>
  <c r="Z75" i="16"/>
  <c r="AH74" i="16"/>
  <c r="AD74" i="16"/>
  <c r="Z74" i="16"/>
  <c r="AH73" i="16"/>
  <c r="AD73" i="16"/>
  <c r="Z73" i="16"/>
  <c r="AH72" i="16"/>
  <c r="AD72" i="16"/>
  <c r="Z72" i="16"/>
  <c r="AH71" i="16"/>
  <c r="AD71" i="16"/>
  <c r="Z71" i="16"/>
  <c r="AH70" i="16"/>
  <c r="AD70" i="16"/>
  <c r="Z70" i="16"/>
  <c r="AH69" i="16"/>
  <c r="AD69" i="16"/>
  <c r="Z69" i="16"/>
  <c r="AH68" i="16"/>
  <c r="AD68" i="16"/>
  <c r="Z68" i="16"/>
  <c r="AH67" i="16"/>
  <c r="AD67" i="16"/>
  <c r="Z67" i="16"/>
  <c r="AH66" i="16"/>
  <c r="Z66" i="16"/>
  <c r="AH65" i="16"/>
  <c r="Z65" i="16"/>
  <c r="AH64" i="16"/>
  <c r="Z64" i="16"/>
  <c r="AH63" i="16"/>
  <c r="AD63" i="16"/>
  <c r="Z63" i="16"/>
  <c r="AH62" i="16"/>
  <c r="AD62" i="16"/>
  <c r="Z62" i="16"/>
  <c r="AH61" i="16"/>
  <c r="AD61" i="16"/>
  <c r="Z61" i="16"/>
  <c r="AH60" i="16"/>
  <c r="AD60" i="16"/>
  <c r="Z60" i="16"/>
  <c r="AH59" i="16"/>
  <c r="AD59" i="16"/>
  <c r="Z59" i="16"/>
  <c r="AH58" i="16"/>
  <c r="AD58" i="16"/>
  <c r="Z58" i="16"/>
  <c r="AH57" i="16"/>
  <c r="AD57" i="16"/>
  <c r="AB52" i="16"/>
  <c r="AB57" i="16"/>
  <c r="Z57" i="16"/>
  <c r="AH56" i="16"/>
  <c r="Z56" i="16"/>
  <c r="Y56" i="16"/>
  <c r="AH55" i="16"/>
  <c r="Z55" i="16"/>
  <c r="AH54" i="16"/>
  <c r="Z54" i="16"/>
  <c r="AH53" i="16"/>
  <c r="Z53" i="16"/>
  <c r="AH52" i="16"/>
  <c r="AC52" i="16"/>
  <c r="AD52" i="16"/>
  <c r="Z52" i="16"/>
  <c r="Y52" i="16"/>
  <c r="AA51" i="16"/>
  <c r="AH51" i="16"/>
  <c r="AD51" i="16"/>
  <c r="AC51" i="16"/>
  <c r="Z51" i="16"/>
  <c r="Y51" i="16"/>
</calcChain>
</file>

<file path=xl/sharedStrings.xml><?xml version="1.0" encoding="utf-8"?>
<sst xmlns="http://schemas.openxmlformats.org/spreadsheetml/2006/main" count="1677" uniqueCount="492">
  <si>
    <t>Date</t>
  </si>
  <si>
    <t>Monday</t>
  </si>
  <si>
    <t>Tuesday</t>
  </si>
  <si>
    <t>Wednesday</t>
  </si>
  <si>
    <t>Thursday</t>
  </si>
  <si>
    <t>Friday</t>
  </si>
  <si>
    <t>Saturday</t>
  </si>
  <si>
    <t>Sunday</t>
  </si>
  <si>
    <t>week 1</t>
  </si>
  <si>
    <t>week 2</t>
  </si>
  <si>
    <t>week 3</t>
  </si>
  <si>
    <t>week 4</t>
  </si>
  <si>
    <t>week 5</t>
  </si>
  <si>
    <t xml:space="preserve">todays date </t>
  </si>
  <si>
    <t>Todays Date</t>
  </si>
  <si>
    <t>original target for each month</t>
  </si>
  <si>
    <t>days in each month</t>
  </si>
  <si>
    <t>week 6</t>
  </si>
  <si>
    <t>original cumulative target dist</t>
  </si>
  <si>
    <t>1st Week start</t>
  </si>
  <si>
    <t>monthly total</t>
  </si>
  <si>
    <t>total swum to date (yd)</t>
  </si>
  <si>
    <t>total swum to date (m)</t>
  </si>
  <si>
    <t>total kilometres</t>
  </si>
  <si>
    <t>total swum to date (Ml)</t>
  </si>
  <si>
    <t>Target metres  per day</t>
  </si>
  <si>
    <t>Target metres per month</t>
  </si>
  <si>
    <t xml:space="preserve">This weeks target : </t>
  </si>
  <si>
    <t>Miles</t>
  </si>
  <si>
    <t>Yards</t>
  </si>
  <si>
    <t>The month so far    =&gt;</t>
  </si>
  <si>
    <t>Meters</t>
  </si>
  <si>
    <t>Daily Total</t>
  </si>
  <si>
    <t>Total</t>
  </si>
  <si>
    <t xml:space="preserve">  week 2</t>
  </si>
  <si>
    <t xml:space="preserve">  week 1</t>
  </si>
  <si>
    <t xml:space="preserve">  week 3</t>
  </si>
  <si>
    <t xml:space="preserve">  week 4</t>
  </si>
  <si>
    <t xml:space="preserve">  week 5</t>
  </si>
  <si>
    <t xml:space="preserve">  week 6</t>
  </si>
  <si>
    <t xml:space="preserve"> target  total</t>
  </si>
  <si>
    <t>This month's target   =&gt;</t>
  </si>
  <si>
    <t>Target</t>
  </si>
  <si>
    <t>accum</t>
  </si>
  <si>
    <t>day1 -1</t>
  </si>
  <si>
    <t>Month start day</t>
  </si>
  <si>
    <t>accum /m</t>
  </si>
  <si>
    <t xml:space="preserve"> to date</t>
  </si>
  <si>
    <t xml:space="preserve"> possible</t>
  </si>
  <si>
    <t>notes  and reminders</t>
  </si>
  <si>
    <t>prev mth</t>
  </si>
  <si>
    <t>total to date</t>
  </si>
  <si>
    <t>month  target     =&gt;</t>
  </si>
  <si>
    <t>monthly target</t>
  </si>
  <si>
    <t>total below target</t>
  </si>
  <si>
    <t>total above target</t>
  </si>
  <si>
    <t>todays date</t>
  </si>
  <si>
    <t>total</t>
  </si>
  <si>
    <t>green</t>
  </si>
  <si>
    <t>red</t>
  </si>
  <si>
    <t>label total</t>
  </si>
  <si>
    <t>new target display</t>
  </si>
  <si>
    <t>new target months</t>
  </si>
  <si>
    <t>Target metres</t>
  </si>
  <si>
    <t>end of year</t>
  </si>
  <si>
    <t>Distance  this week :</t>
  </si>
  <si>
    <t>actually used</t>
  </si>
  <si>
    <t>Forecast</t>
  </si>
  <si>
    <t xml:space="preserve"> this month</t>
  </si>
  <si>
    <t>today</t>
  </si>
  <si>
    <t>month  total       =&gt;</t>
  </si>
  <si>
    <t>Feb.</t>
  </si>
  <si>
    <t>Jan.</t>
  </si>
  <si>
    <t>Mar.</t>
  </si>
  <si>
    <t>Apr.</t>
  </si>
  <si>
    <t>May.</t>
  </si>
  <si>
    <t>Jun.</t>
  </si>
  <si>
    <t>Jul.</t>
  </si>
  <si>
    <t>Aug.</t>
  </si>
  <si>
    <t>Sep.</t>
  </si>
  <si>
    <t>Oct.</t>
  </si>
  <si>
    <t>Nov.</t>
  </si>
  <si>
    <t>Dec.</t>
  </si>
  <si>
    <t>graphs</t>
  </si>
  <si>
    <t>Daily average speed</t>
  </si>
  <si>
    <t>av speed x time</t>
  </si>
  <si>
    <t>TL hide</t>
  </si>
  <si>
    <t>TT hide</t>
  </si>
  <si>
    <t>average speed</t>
  </si>
  <si>
    <t>other</t>
  </si>
  <si>
    <t>ranked</t>
  </si>
  <si>
    <t>Total Time</t>
  </si>
  <si>
    <t>in each venue</t>
  </si>
  <si>
    <r>
      <t xml:space="preserve">WET TIME  </t>
    </r>
    <r>
      <rPr>
        <b/>
        <sz val="8"/>
        <color rgb="FF0000FF"/>
        <rFont val="Calibri"/>
        <family val="2"/>
        <scheme val="minor"/>
      </rPr>
      <t>d:hh:mm</t>
    </r>
  </si>
  <si>
    <t>time total</t>
  </si>
  <si>
    <t>speed average</t>
  </si>
  <si>
    <t>dist total</t>
  </si>
  <si>
    <t>distance</t>
  </si>
  <si>
    <t>time   /h</t>
  </si>
  <si>
    <t>Mon</t>
  </si>
  <si>
    <t>Tue</t>
  </si>
  <si>
    <t>Wed</t>
  </si>
  <si>
    <t>Thu</t>
  </si>
  <si>
    <t>Fri</t>
  </si>
  <si>
    <t>Sat</t>
  </si>
  <si>
    <t>Sun</t>
  </si>
  <si>
    <t>spare</t>
  </si>
  <si>
    <t>swims</t>
  </si>
  <si>
    <t xml:space="preserve">not </t>
  </si>
  <si>
    <t>timed</t>
  </si>
  <si>
    <t>NO TIMES</t>
  </si>
  <si>
    <t>TOTAL</t>
  </si>
  <si>
    <t xml:space="preserve">           1.MILES</t>
  </si>
  <si>
    <t>To do only?</t>
  </si>
  <si>
    <t>timed distance</t>
  </si>
  <si>
    <t>in</t>
  </si>
  <si>
    <t>GB</t>
  </si>
  <si>
    <t>F</t>
  </si>
  <si>
    <t>D</t>
  </si>
  <si>
    <t>I</t>
  </si>
  <si>
    <t>E</t>
  </si>
  <si>
    <t>months</t>
  </si>
  <si>
    <t>speed</t>
  </si>
  <si>
    <t>time</t>
  </si>
  <si>
    <t>venue codes</t>
  </si>
  <si>
    <t>total time</t>
  </si>
  <si>
    <t>Lundi</t>
  </si>
  <si>
    <t>Mardi</t>
  </si>
  <si>
    <t>Mercredi</t>
  </si>
  <si>
    <t>Jeudi</t>
  </si>
  <si>
    <t>Vendredi</t>
  </si>
  <si>
    <t>Samedi</t>
  </si>
  <si>
    <t>Dimanche</t>
  </si>
  <si>
    <t>Sonntag</t>
  </si>
  <si>
    <t>Samstag</t>
  </si>
  <si>
    <t>Freitag</t>
  </si>
  <si>
    <t>Donnerstag</t>
  </si>
  <si>
    <t>Mittwoch</t>
  </si>
  <si>
    <t>Dienstag</t>
  </si>
  <si>
    <t>Montag</t>
  </si>
  <si>
    <t>Lunedì</t>
  </si>
  <si>
    <t>Lunes</t>
  </si>
  <si>
    <t>Fev.</t>
  </si>
  <si>
    <t>Avr.</t>
  </si>
  <si>
    <t>Mai.</t>
  </si>
  <si>
    <t>Aou.</t>
  </si>
  <si>
    <t>Ago.</t>
  </si>
  <si>
    <t>Dic.</t>
  </si>
  <si>
    <t>Ene.</t>
  </si>
  <si>
    <t>Gen.</t>
  </si>
  <si>
    <t>R</t>
  </si>
  <si>
    <t>Янв.</t>
  </si>
  <si>
    <t>Фев.</t>
  </si>
  <si>
    <t>Map.</t>
  </si>
  <si>
    <t>Апр.</t>
  </si>
  <si>
    <t>Abr.</t>
  </si>
  <si>
    <t>Mag.</t>
  </si>
  <si>
    <t>Мая.</t>
  </si>
  <si>
    <t>Июн.</t>
  </si>
  <si>
    <t>Gui.</t>
  </si>
  <si>
    <t>Lug.</t>
  </si>
  <si>
    <t>Июл.</t>
  </si>
  <si>
    <t>Авг.</t>
  </si>
  <si>
    <t>Set.</t>
  </si>
  <si>
    <t>Сен.</t>
  </si>
  <si>
    <t>Окт.</t>
  </si>
  <si>
    <t>Okt.</t>
  </si>
  <si>
    <t>Ott.</t>
  </si>
  <si>
    <t>Dez.</t>
  </si>
  <si>
    <t>P</t>
  </si>
  <si>
    <t>Out.</t>
  </si>
  <si>
    <t>J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</si>
  <si>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</si>
  <si>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</si>
  <si>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</si>
  <si>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</si>
  <si>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</si>
  <si>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</si>
  <si>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</si>
  <si>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</si>
  <si>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</si>
  <si>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</si>
  <si>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</si>
  <si>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</si>
  <si>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ヶ月</t>
  </si>
  <si>
    <t>месяцев</t>
  </si>
  <si>
    <t>mesi</t>
  </si>
  <si>
    <t>mois</t>
  </si>
  <si>
    <t>meses</t>
  </si>
  <si>
    <t>Zielzone zurücksetzen</t>
  </si>
  <si>
    <t>Целевая зона сброса</t>
  </si>
  <si>
    <t>合計</t>
  </si>
  <si>
    <t>Итого</t>
  </si>
  <si>
    <t>Vitesse</t>
  </si>
  <si>
    <t>velocità</t>
  </si>
  <si>
    <t>скорость</t>
  </si>
  <si>
    <t>速度</t>
  </si>
  <si>
    <t>時間</t>
  </si>
  <si>
    <t>время</t>
  </si>
  <si>
    <t>tempo</t>
  </si>
  <si>
    <t>temps</t>
  </si>
  <si>
    <t>tiempo</t>
  </si>
  <si>
    <t>Zeit</t>
  </si>
  <si>
    <t>em cada local</t>
  </si>
  <si>
    <t>in jedem Ort</t>
  </si>
  <si>
    <t>en cada lugar</t>
  </si>
  <si>
    <t>dans chaque lieu</t>
  </si>
  <si>
    <t>in ogni sede</t>
  </si>
  <si>
    <t>в каждом месте</t>
  </si>
  <si>
    <t>各会場で</t>
  </si>
  <si>
    <t>会場コード</t>
  </si>
  <si>
    <t>место проведения коды</t>
  </si>
  <si>
    <t>codici di sede</t>
  </si>
  <si>
    <t>codes de lieu</t>
  </si>
  <si>
    <t>códigos de sede</t>
  </si>
  <si>
    <t>Veranstaltungsort-codes</t>
  </si>
  <si>
    <t>códigos de local</t>
  </si>
  <si>
    <t>tempo total</t>
  </si>
  <si>
    <t>Gesamtzeit</t>
  </si>
  <si>
    <t>tiempo total</t>
  </si>
  <si>
    <t>temps total</t>
  </si>
  <si>
    <t>tempo totale</t>
  </si>
  <si>
    <t>Общее время</t>
  </si>
  <si>
    <t>合計時間</t>
  </si>
  <si>
    <t>Цель</t>
  </si>
  <si>
    <t>Geschwin</t>
  </si>
  <si>
    <t>veloci</t>
  </si>
  <si>
    <t>velocid</t>
  </si>
  <si>
    <t>標的</t>
  </si>
  <si>
    <t xml:space="preserve">scegliere la propria sede codici per utilizzare le schede di ingresso:-        </t>
  </si>
  <si>
    <t xml:space="preserve">Wählen Sie Ihre eigenen Veranstaltungsort-Codes:-        </t>
  </si>
  <si>
    <t xml:space="preserve">Выберите свой собственный место коды:-        </t>
  </si>
  <si>
    <t>データ入力シートで使用する独自の会場コードを選択</t>
  </si>
  <si>
    <t>Витрины для всех диаграмм</t>
  </si>
  <si>
    <t>すべてのグラフの表示単位</t>
  </si>
  <si>
    <t>Anzeigeeinheiten für alle Diagramme</t>
  </si>
  <si>
    <t>Prévisions</t>
  </si>
  <si>
    <t>Pronóstico</t>
  </si>
  <si>
    <t>Prognose</t>
  </si>
  <si>
    <t>Previsioni</t>
  </si>
  <si>
    <t>Прогноз</t>
  </si>
  <si>
    <t>見通し</t>
  </si>
  <si>
    <t>ウェットの時間今年の合計:-(dd:hh:mm)</t>
  </si>
  <si>
    <t>Totale tempo bagnato quest'anno: - (dd:hh:mm)</t>
  </si>
  <si>
    <t>Общее время мокрый в этом году: - (dd:hh:mm)</t>
  </si>
  <si>
    <t>total tiempo mojado este año: - (dd:hh:mm)</t>
  </si>
  <si>
    <t>total de tempo molhado este ano: - (dd:hh:mm)</t>
  </si>
  <si>
    <t>Total nass Mal in diesem Jahr: - (Dd:hh:mm)</t>
  </si>
  <si>
    <t>Total temps humide cette année : - (dd:hh:mm)</t>
  </si>
  <si>
    <t>Alvo</t>
  </si>
  <si>
    <t>Blanco</t>
  </si>
  <si>
    <t>Objectif</t>
  </si>
  <si>
    <t>Gesamt</t>
  </si>
  <si>
    <t>Totale</t>
  </si>
  <si>
    <t>max</t>
  </si>
  <si>
    <t>min</t>
  </si>
  <si>
    <t>rank</t>
  </si>
  <si>
    <t>input</t>
  </si>
  <si>
    <t>range</t>
  </si>
  <si>
    <t>orig</t>
  </si>
  <si>
    <t>Nada de hoje</t>
  </si>
  <si>
    <t>feuchte Zeit heute</t>
  </si>
  <si>
    <t>Nada de hoy</t>
  </si>
  <si>
    <t>Nuotate di oggi</t>
  </si>
  <si>
    <t xml:space="preserve"> Плавать сегодня</t>
  </si>
  <si>
    <t>今日のスイム</t>
  </si>
  <si>
    <t>Today's swim</t>
  </si>
  <si>
    <t>Ноя</t>
  </si>
  <si>
    <t>Дек</t>
  </si>
  <si>
    <t>Unità per tutti                       i grafici</t>
  </si>
  <si>
    <t>понедельник</t>
  </si>
  <si>
    <t>月曜日</t>
  </si>
  <si>
    <t>вторник</t>
  </si>
  <si>
    <t>火曜日</t>
  </si>
  <si>
    <t>среда</t>
  </si>
  <si>
    <t>水曜日</t>
  </si>
  <si>
    <t>четверг</t>
  </si>
  <si>
    <t>木曜日</t>
  </si>
  <si>
    <t>пятница</t>
  </si>
  <si>
    <t>金曜日</t>
  </si>
  <si>
    <t>суббота</t>
  </si>
  <si>
    <t>土曜日</t>
  </si>
  <si>
    <t>воскресенье</t>
  </si>
  <si>
    <t>日曜日</t>
  </si>
  <si>
    <t>вос</t>
  </si>
  <si>
    <t>日</t>
  </si>
  <si>
    <t>пон</t>
  </si>
  <si>
    <t>月</t>
  </si>
  <si>
    <t>вто</t>
  </si>
  <si>
    <t>火</t>
  </si>
  <si>
    <t>сре</t>
  </si>
  <si>
    <t>水</t>
  </si>
  <si>
    <t>чет</t>
  </si>
  <si>
    <t>木</t>
  </si>
  <si>
    <t>пят</t>
  </si>
  <si>
    <t>金</t>
  </si>
  <si>
    <t>суб</t>
  </si>
  <si>
    <t>土</t>
  </si>
  <si>
    <t>Dom</t>
  </si>
  <si>
    <t>Seg</t>
  </si>
  <si>
    <t>Ter</t>
  </si>
  <si>
    <t>Qua</t>
  </si>
  <si>
    <t>Qui</t>
  </si>
  <si>
    <t>Sex</t>
  </si>
  <si>
    <t>Sab</t>
  </si>
  <si>
    <t>Son</t>
  </si>
  <si>
    <t>Die</t>
  </si>
  <si>
    <t>Mit</t>
  </si>
  <si>
    <t>Don</t>
  </si>
  <si>
    <t>Fre</t>
  </si>
  <si>
    <t>Sam</t>
  </si>
  <si>
    <t>Lun</t>
  </si>
  <si>
    <t>Mar</t>
  </si>
  <si>
    <t>Mie</t>
  </si>
  <si>
    <t>Jue</t>
  </si>
  <si>
    <t>Vie</t>
  </si>
  <si>
    <t>Dim</t>
  </si>
  <si>
    <t>Mer</t>
  </si>
  <si>
    <t>Jeu</t>
  </si>
  <si>
    <t>Ven</t>
  </si>
  <si>
    <t>Gio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</si>
  <si>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</si>
  <si>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</si>
  <si>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</si>
  <si>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</si>
  <si>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</si>
  <si>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</si>
  <si>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</si>
  <si>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Martes</t>
  </si>
  <si>
    <t>Miércoles</t>
  </si>
  <si>
    <t>Jueves</t>
  </si>
  <si>
    <t>Viernes</t>
  </si>
  <si>
    <t>Martedì</t>
  </si>
  <si>
    <t>Mercoledì</t>
  </si>
  <si>
    <t>Giovedì</t>
  </si>
  <si>
    <t>Venerdì</t>
  </si>
  <si>
    <t>Sabato</t>
  </si>
  <si>
    <t>Domenica</t>
  </si>
  <si>
    <t>Previsão</t>
  </si>
  <si>
    <t>行う</t>
  </si>
  <si>
    <t>完成です</t>
  </si>
  <si>
    <t>à faire:</t>
  </si>
  <si>
    <t>Договорились:</t>
  </si>
  <si>
    <t>days gone</t>
  </si>
  <si>
    <t>days to go</t>
  </si>
  <si>
    <t>дней</t>
  </si>
  <si>
    <t>giorni</t>
  </si>
  <si>
    <t>jours</t>
  </si>
  <si>
    <t>días</t>
  </si>
  <si>
    <t>dias</t>
  </si>
  <si>
    <t xml:space="preserve"> .. giorno... settimana... mese  </t>
  </si>
  <si>
    <t xml:space="preserve"> .. dia    ... semana   ... mês  </t>
  </si>
  <si>
    <t xml:space="preserve"> .. día   ... semana   ... mes  </t>
  </si>
  <si>
    <t xml:space="preserve"> .. Jour  ...semaine ...mois  </t>
  </si>
  <si>
    <t xml:space="preserve"> … День  … Неделя  … Mесяц  </t>
  </si>
  <si>
    <t xml:space="preserve"> .. day      .. week     .. month</t>
  </si>
  <si>
    <t>Metres</t>
  </si>
  <si>
    <t xml:space="preserve"> 1.  Miles</t>
  </si>
  <si>
    <t xml:space="preserve"> 2.  Yards</t>
  </si>
  <si>
    <t>3.   Metres</t>
  </si>
  <si>
    <t>To reach target :</t>
  </si>
  <si>
    <t>Feito:</t>
  </si>
  <si>
    <t>Fertig:</t>
  </si>
  <si>
    <t>Hecho:</t>
  </si>
  <si>
    <t>Fatto:</t>
  </si>
  <si>
    <r>
      <rPr>
        <b/>
        <sz val="10"/>
        <color rgb="FF0000FF"/>
        <rFont val="Calibri"/>
        <family val="2"/>
        <scheme val="minor"/>
      </rPr>
      <t>Wet Time</t>
    </r>
    <r>
      <rPr>
        <b/>
        <sz val="9"/>
        <color rgb="FF0000FF"/>
        <rFont val="Calibri"/>
        <family val="2"/>
        <scheme val="minor"/>
      </rPr>
      <t xml:space="preserve"> d:hh:mm</t>
    </r>
  </si>
  <si>
    <t xml:space="preserve">          3.METRES</t>
  </si>
  <si>
    <t>C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</si>
  <si>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</si>
  <si>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</si>
  <si>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</si>
  <si>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</si>
  <si>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</si>
  <si>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</si>
  <si>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</si>
  <si>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一</t>
  </si>
  <si>
    <t>二</t>
  </si>
  <si>
    <t>三</t>
  </si>
  <si>
    <t>四</t>
  </si>
  <si>
    <t>五</t>
  </si>
  <si>
    <t>六</t>
  </si>
  <si>
    <t>个月</t>
  </si>
  <si>
    <t>目标</t>
  </si>
  <si>
    <t>目标重置区域</t>
  </si>
  <si>
    <t>总</t>
  </si>
  <si>
    <t>时</t>
  </si>
  <si>
    <t>速</t>
  </si>
  <si>
    <t>在每个场地</t>
  </si>
  <si>
    <t>来码</t>
  </si>
  <si>
    <t>总时间</t>
  </si>
  <si>
    <t>选择您自己的场地代码以在数据输入表上使用</t>
  </si>
  <si>
    <t>Display units for                   ALL charts</t>
  </si>
  <si>
    <t>预测</t>
  </si>
  <si>
    <t>今年的总湿润时间： - （年龄：hh：mm）</t>
  </si>
  <si>
    <t>今年达到目标</t>
  </si>
  <si>
    <t>到目前为止</t>
  </si>
  <si>
    <t>天</t>
  </si>
  <si>
    <t>..天              ...周             ...月</t>
  </si>
  <si>
    <t>二月</t>
  </si>
  <si>
    <t>一月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</si>
  <si>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</si>
  <si>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</si>
  <si>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</si>
  <si>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</si>
  <si>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</si>
  <si>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</si>
  <si>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</si>
  <si>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</si>
  <si>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</t>
  </si>
  <si>
    <t>十二</t>
  </si>
  <si>
    <t>swims not timed</t>
  </si>
  <si>
    <t>Nadar no cronometrado</t>
  </si>
  <si>
    <t>Nadar não cronometrado</t>
  </si>
  <si>
    <t>Schwimmen nicht zeitgesteuert</t>
  </si>
  <si>
    <t>Nager pas chronométré</t>
  </si>
  <si>
    <t>Nuota non a tempo</t>
  </si>
  <si>
    <t>Плавать не приурочено</t>
  </si>
  <si>
    <t>Bleiben Sie auf dem Laufenden, um Ihr Ziel zu erreichen!</t>
  </si>
  <si>
    <t>Следите за «линией плавания», чтобы достичь своей цели!</t>
  </si>
  <si>
    <t xml:space="preserve">           2.YARDS </t>
  </si>
  <si>
    <t>Da fare:</t>
  </si>
  <si>
    <t>fait:</t>
  </si>
  <si>
    <t>Para hacer:</t>
  </si>
  <si>
    <t>Zu tun:</t>
  </si>
  <si>
    <t>Para fazer:</t>
  </si>
  <si>
    <t>Monate</t>
  </si>
  <si>
    <t>Tagen</t>
  </si>
  <si>
    <t xml:space="preserve"> …Tag   ….Woche  ….Monat  </t>
  </si>
  <si>
    <t>too early</t>
  </si>
  <si>
    <t>Resta aggiornato con la 'linea di nuoto' per raggiungere il tuo obiettivo!</t>
  </si>
  <si>
    <t>Acompanhe a 'linha de natação' para chegar ao seu destino!</t>
  </si>
  <si>
    <t>MILES</t>
  </si>
  <si>
    <t>YARDS</t>
  </si>
  <si>
    <t>METRES</t>
  </si>
  <si>
    <t>venue code</t>
  </si>
  <si>
    <r>
      <t>time in</t>
    </r>
    <r>
      <rPr>
        <b/>
        <sz val="14"/>
        <color theme="1"/>
        <rFont val="Calibri"/>
        <family val="2"/>
        <scheme val="minor"/>
      </rPr>
      <t xml:space="preserve"> mins</t>
    </r>
  </si>
  <si>
    <t xml:space="preserve">lookup </t>
  </si>
  <si>
    <t>chart units   :-</t>
  </si>
  <si>
    <t>chart units  :-</t>
  </si>
  <si>
    <t xml:space="preserve">choose your own venue codes to use             on the data input sheets    :-        </t>
  </si>
  <si>
    <t>Target    reset         zone</t>
  </si>
  <si>
    <t>Done so far:</t>
  </si>
  <si>
    <t>Zona-alvo de redefinir</t>
  </si>
  <si>
    <t>Reajuste del rango</t>
  </si>
  <si>
    <t>Zone cible de réinitialisation</t>
  </si>
  <si>
    <t>Zona target di reset</t>
  </si>
  <si>
    <t xml:space="preserve">escolha seus próprios códigos de local para usar em fichas de dados de entrada:-        </t>
  </si>
  <si>
    <t xml:space="preserve">elija sus propio códigos de lugar para usar en las hojas de datos de entrada:-        </t>
  </si>
  <si>
    <t xml:space="preserve">choisissez vos propres codes de lieu à utiliser sur les fiches d’entrée :-        </t>
  </si>
  <si>
    <t>Unidades para             todos os gráficos</t>
  </si>
  <si>
    <t>Mantente al día con la 'línea de natación' para alcanzar tu objetivo</t>
  </si>
  <si>
    <t>Keep up with the 'swim line' to reach your target!</t>
  </si>
  <si>
    <t>Suivez la 'ligne de bain' pour atteindre votre cible!</t>
  </si>
  <si>
    <t>Unidades para             todos los gráficos</t>
  </si>
  <si>
    <t>Nage d’auj.</t>
  </si>
  <si>
    <t>Unités pour TOUTES            les cartes</t>
  </si>
  <si>
    <t>(dd:hh:mm)</t>
  </si>
  <si>
    <t>Делать:</t>
  </si>
  <si>
    <t>今天的游泳距离</t>
  </si>
  <si>
    <t>所有图表的单位</t>
  </si>
  <si>
    <t>非定时游泳</t>
  </si>
  <si>
    <t>跟上'游泳线'，达到你的目标</t>
  </si>
  <si>
    <t>タイミングなしで泳ぐ</t>
  </si>
  <si>
    <t>あなたの目標に達するために "水泳ライン"についてください</t>
  </si>
  <si>
    <t xml:space="preserve">excel chart </t>
  </si>
  <si>
    <t>My Annual Totals  /miles</t>
  </si>
  <si>
    <t xml:space="preserve">Previous Years </t>
  </si>
  <si>
    <t>metres</t>
  </si>
  <si>
    <t>yards</t>
  </si>
  <si>
    <t>miles</t>
  </si>
  <si>
    <t>diff</t>
  </si>
  <si>
    <t>change factor</t>
  </si>
  <si>
    <t>no. of swims</t>
  </si>
  <si>
    <t>wet time   /h</t>
  </si>
  <si>
    <t>wet days</t>
  </si>
  <si>
    <t>wet day count</t>
  </si>
  <si>
    <t>and target graph??</t>
  </si>
  <si>
    <t>formatting &amp; protect sheets</t>
  </si>
  <si>
    <t>TEST DATES next year!</t>
  </si>
  <si>
    <t>10 yr results to expaND</t>
  </si>
  <si>
    <t>B14-7 to do</t>
  </si>
  <si>
    <t>….. averages p.a.</t>
  </si>
  <si>
    <t>2024 forecast</t>
  </si>
  <si>
    <t>and TEST JAN prev yrs data</t>
  </si>
  <si>
    <t>pool1</t>
  </si>
  <si>
    <t>pool2</t>
  </si>
  <si>
    <t>OW</t>
  </si>
  <si>
    <r>
      <rPr>
        <b/>
        <sz val="10"/>
        <rFont val="Calibri (Body)_x0000_"/>
      </rPr>
      <t xml:space="preserve">Do you know your totals? </t>
    </r>
    <r>
      <rPr>
        <b/>
        <sz val="14"/>
        <rFont val="Calibri"/>
        <family val="2"/>
        <scheme val="minor"/>
      </rPr>
      <t xml:space="preserve">    Input                    metres    </t>
    </r>
    <r>
      <rPr>
        <b/>
        <sz val="10"/>
        <rFont val="Calibri (Body)_x0000_"/>
      </rPr>
      <t>or</t>
    </r>
    <r>
      <rPr>
        <b/>
        <sz val="14"/>
        <rFont val="Calibri"/>
        <family val="2"/>
        <scheme val="minor"/>
      </rPr>
      <t xml:space="preserve">    miles</t>
    </r>
  </si>
  <si>
    <r>
      <t xml:space="preserve">total </t>
    </r>
    <r>
      <rPr>
        <b/>
        <sz val="12"/>
        <color theme="0"/>
        <rFont val="Calibri"/>
        <family val="2"/>
        <scheme val="minor"/>
      </rPr>
      <t>wet time</t>
    </r>
    <r>
      <rPr>
        <sz val="12"/>
        <color theme="0"/>
        <rFont val="Calibri"/>
        <family val="2"/>
        <scheme val="minor"/>
      </rPr>
      <t xml:space="preserve"> this year   : -   (dd:hh:mm)</t>
    </r>
  </si>
  <si>
    <r>
      <rPr>
        <sz val="10"/>
        <color theme="0"/>
        <rFont val="è¨íÀñæí© Pr6N M"/>
        <family val="2"/>
      </rPr>
      <t>ターゲット</t>
    </r>
    <r>
      <rPr>
        <sz val="10"/>
        <color theme="0"/>
        <rFont val="Calibri"/>
        <family val="2"/>
        <scheme val="minor"/>
      </rPr>
      <t xml:space="preserve"> </t>
    </r>
    <r>
      <rPr>
        <sz val="10"/>
        <color theme="0"/>
        <rFont val="è¨íÀñæí© Pr6N M"/>
        <family val="2"/>
      </rPr>
      <t>ゾーンをリセット</t>
    </r>
  </si>
  <si>
    <r>
      <t xml:space="preserve">.. </t>
    </r>
    <r>
      <rPr>
        <sz val="12"/>
        <color theme="0"/>
        <rFont val="è¨íÀñæí© Pr6N M"/>
        <family val="2"/>
      </rPr>
      <t>日           .</t>
    </r>
    <r>
      <rPr>
        <sz val="12"/>
        <color theme="0"/>
        <rFont val="Calibri"/>
        <family val="2"/>
        <scheme val="minor"/>
      </rPr>
      <t xml:space="preserve">. </t>
    </r>
    <r>
      <rPr>
        <sz val="12"/>
        <color theme="0"/>
        <rFont val="è¨íÀñæí© Pr6N M"/>
        <family val="2"/>
      </rPr>
      <t>週        .</t>
    </r>
    <r>
      <rPr>
        <sz val="12"/>
        <color theme="0"/>
        <rFont val="Calibri"/>
        <family val="2"/>
        <scheme val="minor"/>
      </rPr>
      <t xml:space="preserve">. </t>
    </r>
    <r>
      <rPr>
        <sz val="12"/>
        <color theme="0"/>
        <rFont val="è¨íÀñæí© Pr6N M"/>
        <family val="2"/>
      </rPr>
      <t>ヶ月</t>
    </r>
    <r>
      <rPr>
        <sz val="12"/>
        <color theme="0"/>
        <rFont val="Calibri"/>
        <family val="2"/>
        <scheme val="minor"/>
      </rPr>
      <t xml:space="preserve"> </t>
    </r>
  </si>
  <si>
    <r>
      <t>and</t>
    </r>
    <r>
      <rPr>
        <sz val="12"/>
        <color theme="0"/>
        <rFont val="Calibri (Body)"/>
      </rPr>
      <t xml:space="preserve"> C7 date</t>
    </r>
    <r>
      <rPr>
        <sz val="12"/>
        <color theme="0"/>
        <rFont val="Calibri"/>
        <family val="2"/>
        <scheme val="minor"/>
      </rPr>
      <t xml:space="preserve"> &amp; JAN forecast chart date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</si>
</sst>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3" formatCode="_(* #,##0.00_);_(* \(#,##0.00\);_(* &quot;-&quot;??_);_(@_)"/>
    <numFmt numFmtId="164" formatCode="d/m/yy;@"/>
    <numFmt numFmtId="165" formatCode="0.E+00"/>
    <numFmt numFmtId="166" formatCode="d;@"/>
    <numFmt numFmtId="167" formatCode="#,##0.0"/>
    <numFmt numFmtId="168" formatCode="0.0"/>
    <numFmt numFmtId="169" formatCode="d\.m\.yy;@"/>
    <numFmt numFmtId="170" formatCode="#,##0.000"/>
    <numFmt numFmtId="171" formatCode="[&gt;=10]#,##0;[&lt;10]0.00"/>
    <numFmt numFmtId="172" formatCode="[&gt;=20]#,##0;[&lt;20]0.00"/>
    <numFmt numFmtId="173" formatCode="[&gt;=20]#,##0;[&lt;20]0.0"/>
    <numFmt numFmtId="174" formatCode="[&gt;=25]#,###;[&lt;25]0.0"/>
    <numFmt numFmtId="175" formatCode="d:hh:mm"/>
    <numFmt numFmtId="176" formatCode="dd:hh:mm"/>
    <numFmt numFmtId="177" formatCode="dd"/>
    <numFmt numFmtId="178" formatCode="[$-F800]dddd\,\ mmmm\ dd\,\ yyyy"/>
  </numFmts>
  <fonts count="132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357F4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20"/>
      <color rgb="FF006600"/>
      <name val="Calibri"/>
      <family val="2"/>
      <scheme val="minor"/>
    </font>
    <font>
      <sz val="20"/>
      <color rgb="FF006600"/>
      <name val="Calibri"/>
      <family val="2"/>
      <scheme val="minor"/>
    </font>
    <font>
      <b/>
      <sz val="20"/>
      <color rgb="FFC40000"/>
      <name val="Calibri"/>
      <family val="2"/>
      <scheme val="minor"/>
    </font>
    <font>
      <sz val="20"/>
      <color rgb="FFC40000"/>
      <name val="Calibri"/>
      <family val="2"/>
      <scheme val="minor"/>
    </font>
    <font>
      <b/>
      <sz val="48"/>
      <color rgb="FFC40000"/>
      <name val="Calibri"/>
      <family val="2"/>
      <scheme val="minor"/>
    </font>
    <font>
      <sz val="48"/>
      <color rgb="FFC4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8"/>
      <color rgb="FF5F2987"/>
      <name val="Calibri"/>
      <family val="2"/>
      <scheme val="minor"/>
    </font>
    <font>
      <b/>
      <sz val="11"/>
      <color rgb="FF61298B"/>
      <name val="Calibri"/>
      <family val="2"/>
      <scheme val="minor"/>
    </font>
    <font>
      <b/>
      <sz val="22"/>
      <color rgb="FF4A1F6B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4"/>
      <name val="Calibri"/>
      <family val="2"/>
      <scheme val="minor"/>
    </font>
    <font>
      <b/>
      <sz val="16"/>
      <name val="Calibri"/>
      <family val="2"/>
      <scheme val="minor"/>
    </font>
    <font>
      <b/>
      <sz val="24"/>
      <color rgb="FF007033"/>
      <name val="Calibri"/>
      <family val="2"/>
      <scheme val="minor"/>
    </font>
    <font>
      <b/>
      <sz val="18"/>
      <color rgb="FF00703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6"/>
      <color rgb="FF000090"/>
      <name val="Calibri"/>
      <family val="2"/>
      <scheme val="minor"/>
    </font>
    <font>
      <b/>
      <sz val="14"/>
      <color rgb="FF000090"/>
      <name val="Calibri"/>
      <family val="2"/>
      <scheme val="minor"/>
    </font>
    <font>
      <sz val="16"/>
      <color rgb="FF0000FF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20"/>
      <color rgb="FF000090"/>
      <name val="Calibri"/>
      <family val="2"/>
      <scheme val="minor"/>
    </font>
    <font>
      <b/>
      <sz val="18"/>
      <color rgb="FF000090"/>
      <name val="Calibri"/>
      <family val="2"/>
      <scheme val="minor"/>
    </font>
    <font>
      <b/>
      <sz val="12"/>
      <color rgb="FF00009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rgb="FF000090"/>
      <name val="Calibri"/>
      <family val="2"/>
      <scheme val="minor"/>
    </font>
    <font>
      <b/>
      <sz val="13"/>
      <color rgb="FF008000"/>
      <name val="Calibri"/>
      <family val="2"/>
      <scheme val="minor"/>
    </font>
    <font>
      <b/>
      <sz val="13"/>
      <color rgb="FF0000FF"/>
      <name val="Calibri"/>
      <family val="2"/>
      <scheme val="minor"/>
    </font>
    <font>
      <b/>
      <sz val="15"/>
      <color rgb="FFFF6600"/>
      <name val="Calibri"/>
      <family val="2"/>
      <scheme val="minor"/>
    </font>
    <font>
      <b/>
      <sz val="15"/>
      <color rgb="FF0000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3"/>
      <color rgb="FF0000FF"/>
      <name val="Calibri"/>
      <family val="2"/>
      <scheme val="minor"/>
    </font>
    <font>
      <sz val="15"/>
      <color rgb="FF0000FF"/>
      <name val="Calibri"/>
      <family val="2"/>
      <scheme val="minor"/>
    </font>
    <font>
      <b/>
      <sz val="22"/>
      <color rgb="FFFFFF00"/>
      <name val="Calibri"/>
      <family val="2"/>
      <scheme val="minor"/>
    </font>
    <font>
      <sz val="13"/>
      <color rgb="FF00009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45"/>
      <color rgb="FF006600"/>
      <name val="Calibri"/>
      <family val="2"/>
      <scheme val="minor"/>
    </font>
    <font>
      <sz val="45"/>
      <color rgb="FF006600"/>
      <name val="Calibri"/>
      <family val="2"/>
      <scheme val="minor"/>
    </font>
    <font>
      <sz val="45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i/>
      <sz val="11"/>
      <color rgb="FF000090"/>
      <name val="Cambria"/>
      <family val="1"/>
      <scheme val="major"/>
    </font>
    <font>
      <sz val="22"/>
      <color theme="1"/>
      <name val="Calibri"/>
      <family val="2"/>
      <scheme val="minor"/>
    </font>
    <font>
      <b/>
      <sz val="18"/>
      <color rgb="FF008000"/>
      <name val="Calibri"/>
      <family val="2"/>
      <scheme val="minor"/>
    </font>
    <font>
      <b/>
      <sz val="16"/>
      <color rgb="FF007033"/>
      <name val="Calibri"/>
      <family val="2"/>
      <scheme val="minor"/>
    </font>
    <font>
      <sz val="16"/>
      <color rgb="FF007033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8"/>
      <color rgb="FF008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5"/>
      <color rgb="FFF8F6A8"/>
      <name val="Calibri"/>
      <family val="2"/>
      <scheme val="minor"/>
    </font>
    <font>
      <sz val="15"/>
      <color rgb="FFF8F6A8"/>
      <name val="Calibri"/>
      <family val="2"/>
      <scheme val="minor"/>
    </font>
    <font>
      <sz val="12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sz val="12"/>
      <color rgb="FF005CA0"/>
      <name val="Calibri"/>
      <family val="2"/>
      <charset val="204"/>
      <scheme val="minor"/>
    </font>
    <font>
      <sz val="12"/>
      <color rgb="FFC7080D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color rgb="FF002060"/>
      <name val="Calibri"/>
      <family val="2"/>
      <charset val="204"/>
      <scheme val="minor"/>
    </font>
    <font>
      <sz val="10"/>
      <color rgb="FF002060"/>
      <name val="Calibri"/>
      <family val="2"/>
      <scheme val="minor"/>
    </font>
    <font>
      <sz val="14"/>
      <color rgb="FFFFFF00"/>
      <name val="Calibri"/>
      <family val="2"/>
      <scheme val="minor"/>
    </font>
    <font>
      <sz val="12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0"/>
      <name val="Calibri (Body)_x0000_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0"/>
      <name val="Inherit"/>
    </font>
    <font>
      <sz val="24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color theme="0"/>
      <name val="Calibri"/>
      <family val="2"/>
      <charset val="134"/>
    </font>
    <font>
      <sz val="10"/>
      <color theme="0"/>
      <name val="Calibri"/>
      <family val="2"/>
      <scheme val="minor"/>
    </font>
    <font>
      <sz val="10"/>
      <color theme="0"/>
      <name val="è¨íÀñæí© Pr6N M"/>
      <family val="2"/>
    </font>
    <font>
      <sz val="12"/>
      <color theme="0"/>
      <name val="è¨íÀñæí© Pr6N M"/>
      <family val="2"/>
    </font>
    <font>
      <sz val="12"/>
      <color theme="0"/>
      <name val="Calibri"/>
      <family val="2"/>
    </font>
    <font>
      <sz val="16"/>
      <color theme="0"/>
      <name val="Arial"/>
      <family val="2"/>
    </font>
    <font>
      <sz val="16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theme="0"/>
      <name val="Calibri (Body)"/>
    </font>
  </fonts>
  <fills count="36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CFF84"/>
        <bgColor indexed="64"/>
      </patternFill>
    </fill>
    <fill>
      <patternFill patternType="solid">
        <fgColor rgb="FFF1FF9B"/>
        <bgColor indexed="64"/>
      </patternFill>
    </fill>
    <fill>
      <patternFill patternType="solid">
        <fgColor rgb="FFD1FFF6"/>
        <bgColor indexed="64"/>
      </patternFill>
    </fill>
    <fill>
      <patternFill patternType="solid">
        <fgColor rgb="FFF9FFA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5EA814"/>
        <bgColor indexed="64"/>
      </patternFill>
    </fill>
    <fill>
      <patternFill patternType="solid">
        <fgColor rgb="FFDDDDFF"/>
        <bgColor indexed="64"/>
      </patternFill>
    </fill>
    <fill>
      <patternFill patternType="solid">
        <fgColor rgb="FFF8F6A8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DDDDFF"/>
        <bgColor rgb="FF000000"/>
      </patternFill>
    </fill>
    <fill>
      <patternFill patternType="solid">
        <fgColor theme="4" tint="-0.249977111117893"/>
        <bgColor indexed="64"/>
      </patternFill>
    </fill>
  </fills>
  <borders count="1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medium">
        <color auto="1"/>
      </left>
      <right style="medium">
        <color auto="1"/>
      </right>
      <top style="double">
        <color rgb="FFFF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391">
    <xf numFmtId="0" fontId="0" fillId="0" borderId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99" fillId="0" borderId="0" applyFont="0" applyFill="0" applyBorder="0" applyAlignment="0" applyProtection="0"/>
  </cellStyleXfs>
  <cellXfs count="534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" fontId="0" fillId="2" borderId="2" xfId="0" applyNumberFormat="1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 wrapText="1"/>
    </xf>
    <xf numFmtId="3" fontId="2" fillId="2" borderId="0" xfId="0" applyNumberFormat="1" applyFont="1" applyFill="1" applyAlignment="1">
      <alignment horizontal="center"/>
    </xf>
    <xf numFmtId="165" fontId="0" fillId="0" borderId="0" xfId="0" applyNumberFormat="1"/>
    <xf numFmtId="0" fontId="0" fillId="3" borderId="13" xfId="0" applyFill="1" applyBorder="1"/>
    <xf numFmtId="0" fontId="0" fillId="3" borderId="15" xfId="0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3" fontId="2" fillId="8" borderId="6" xfId="0" applyNumberFormat="1" applyFont="1" applyFill="1" applyBorder="1" applyAlignment="1">
      <alignment horizontal="center"/>
    </xf>
    <xf numFmtId="3" fontId="2" fillId="8" borderId="7" xfId="0" applyNumberFormat="1" applyFont="1" applyFill="1" applyBorder="1" applyAlignment="1">
      <alignment horizontal="center"/>
    </xf>
    <xf numFmtId="0" fontId="2" fillId="5" borderId="9" xfId="0" applyFont="1" applyFill="1" applyBorder="1" applyAlignment="1">
      <alignment horizontal="right"/>
    </xf>
    <xf numFmtId="0" fontId="0" fillId="2" borderId="17" xfId="0" applyFill="1" applyBorder="1" applyAlignment="1">
      <alignment horizontal="center"/>
    </xf>
    <xf numFmtId="1" fontId="0" fillId="2" borderId="25" xfId="0" applyNumberForma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164" fontId="0" fillId="13" borderId="0" xfId="0" applyNumberFormat="1" applyFill="1" applyAlignment="1">
      <alignment horizontal="center" shrinkToFit="1"/>
    </xf>
    <xf numFmtId="0" fontId="2" fillId="2" borderId="24" xfId="0" applyFont="1" applyFill="1" applyBorder="1"/>
    <xf numFmtId="0" fontId="2" fillId="2" borderId="27" xfId="0" applyFont="1" applyFill="1" applyBorder="1"/>
    <xf numFmtId="0" fontId="2" fillId="3" borderId="14" xfId="0" applyFont="1" applyFill="1" applyBorder="1" applyAlignment="1">
      <alignment horizontal="right"/>
    </xf>
    <xf numFmtId="0" fontId="2" fillId="3" borderId="12" xfId="0" applyFont="1" applyFill="1" applyBorder="1"/>
    <xf numFmtId="0" fontId="2" fillId="4" borderId="5" xfId="0" applyFont="1" applyFill="1" applyBorder="1"/>
    <xf numFmtId="0" fontId="2" fillId="5" borderId="8" xfId="0" applyFont="1" applyFill="1" applyBorder="1"/>
    <xf numFmtId="166" fontId="2" fillId="2" borderId="25" xfId="0" applyNumberFormat="1" applyFont="1" applyFill="1" applyBorder="1" applyAlignment="1">
      <alignment horizontal="center"/>
    </xf>
    <xf numFmtId="166" fontId="2" fillId="2" borderId="2" xfId="0" applyNumberFormat="1" applyFont="1" applyFill="1" applyBorder="1" applyAlignment="1">
      <alignment horizontal="center"/>
    </xf>
    <xf numFmtId="0" fontId="2" fillId="3" borderId="22" xfId="0" applyFont="1" applyFill="1" applyBorder="1" applyAlignment="1">
      <alignment horizontal="right"/>
    </xf>
    <xf numFmtId="166" fontId="2" fillId="2" borderId="17" xfId="0" applyNumberFormat="1" applyFont="1" applyFill="1" applyBorder="1" applyAlignment="1">
      <alignment horizontal="center"/>
    </xf>
    <xf numFmtId="166" fontId="2" fillId="2" borderId="4" xfId="0" applyNumberFormat="1" applyFont="1" applyFill="1" applyBorder="1" applyAlignment="1">
      <alignment horizontal="center"/>
    </xf>
    <xf numFmtId="0" fontId="2" fillId="3" borderId="21" xfId="0" applyFont="1" applyFill="1" applyBorder="1"/>
    <xf numFmtId="0" fontId="2" fillId="4" borderId="6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64" fontId="2" fillId="13" borderId="0" xfId="0" applyNumberFormat="1" applyFont="1" applyFill="1" applyAlignment="1">
      <alignment horizontal="center" shrinkToFit="1"/>
    </xf>
    <xf numFmtId="167" fontId="0" fillId="5" borderId="9" xfId="0" applyNumberFormat="1" applyFill="1" applyBorder="1" applyAlignment="1">
      <alignment horizontal="center"/>
    </xf>
    <xf numFmtId="3" fontId="0" fillId="5" borderId="9" xfId="0" applyNumberFormat="1" applyFill="1" applyBorder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shrinkToFit="1"/>
    </xf>
    <xf numFmtId="0" fontId="13" fillId="2" borderId="32" xfId="0" applyFont="1" applyFill="1" applyBorder="1" applyAlignment="1">
      <alignment horizontal="center" vertical="center" shrinkToFit="1"/>
    </xf>
    <xf numFmtId="1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7" fontId="0" fillId="0" borderId="35" xfId="0" applyNumberFormat="1" applyBorder="1" applyAlignment="1" applyProtection="1">
      <alignment horizontal="center"/>
      <protection locked="0"/>
    </xf>
    <xf numFmtId="3" fontId="0" fillId="0" borderId="35" xfId="0" applyNumberFormat="1" applyBorder="1" applyAlignment="1" applyProtection="1">
      <alignment horizontal="center"/>
      <protection locked="0"/>
    </xf>
    <xf numFmtId="1" fontId="0" fillId="2" borderId="17" xfId="0" applyNumberFormat="1" applyFill="1" applyBorder="1" applyAlignment="1">
      <alignment horizontal="center"/>
    </xf>
    <xf numFmtId="0" fontId="2" fillId="0" borderId="31" xfId="0" applyFont="1" applyBorder="1"/>
    <xf numFmtId="167" fontId="2" fillId="8" borderId="6" xfId="0" applyNumberFormat="1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7" fontId="0" fillId="3" borderId="9" xfId="0" applyNumberFormat="1" applyFill="1" applyBorder="1" applyAlignment="1">
      <alignment horizontal="center" vertical="center"/>
    </xf>
    <xf numFmtId="3" fontId="0" fillId="3" borderId="9" xfId="0" applyNumberForma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1" fontId="2" fillId="2" borderId="0" xfId="0" applyNumberFormat="1" applyFont="1" applyFill="1" applyAlignment="1">
      <alignment horizontal="center" shrinkToFit="1"/>
    </xf>
    <xf numFmtId="3" fontId="2" fillId="2" borderId="0" xfId="0" applyNumberFormat="1" applyFont="1" applyFill="1" applyAlignment="1">
      <alignment horizontal="center" shrinkToFit="1"/>
    </xf>
    <xf numFmtId="0" fontId="2" fillId="4" borderId="39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right"/>
    </xf>
    <xf numFmtId="0" fontId="2" fillId="5" borderId="39" xfId="0" applyFont="1" applyFill="1" applyBorder="1" applyAlignment="1">
      <alignment horizontal="center"/>
    </xf>
    <xf numFmtId="0" fontId="2" fillId="5" borderId="39" xfId="0" applyFont="1" applyFill="1" applyBorder="1" applyAlignment="1">
      <alignment horizontal="right"/>
    </xf>
    <xf numFmtId="167" fontId="0" fillId="5" borderId="39" xfId="0" applyNumberFormat="1" applyFill="1" applyBorder="1" applyAlignment="1">
      <alignment horizontal="center"/>
    </xf>
    <xf numFmtId="3" fontId="0" fillId="5" borderId="39" xfId="0" applyNumberFormat="1" applyFill="1" applyBorder="1" applyAlignment="1">
      <alignment horizontal="center"/>
    </xf>
    <xf numFmtId="0" fontId="2" fillId="4" borderId="41" xfId="0" applyFont="1" applyFill="1" applyBorder="1" applyAlignment="1">
      <alignment horizontal="right"/>
    </xf>
    <xf numFmtId="0" fontId="2" fillId="4" borderId="38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right"/>
    </xf>
    <xf numFmtId="0" fontId="2" fillId="5" borderId="38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167" fontId="0" fillId="8" borderId="6" xfId="0" applyNumberFormat="1" applyFill="1" applyBorder="1" applyAlignment="1">
      <alignment horizontal="center"/>
    </xf>
    <xf numFmtId="3" fontId="0" fillId="8" borderId="6" xfId="0" applyNumberFormat="1" applyFill="1" applyBorder="1" applyAlignment="1">
      <alignment horizontal="center"/>
    </xf>
    <xf numFmtId="167" fontId="0" fillId="8" borderId="39" xfId="0" applyNumberFormat="1" applyFill="1" applyBorder="1" applyAlignment="1">
      <alignment horizontal="center"/>
    </xf>
    <xf numFmtId="3" fontId="0" fillId="8" borderId="39" xfId="0" applyNumberFormat="1" applyFill="1" applyBorder="1" applyAlignment="1">
      <alignment horizontal="center"/>
    </xf>
    <xf numFmtId="3" fontId="0" fillId="8" borderId="40" xfId="0" applyNumberFormat="1" applyFill="1" applyBorder="1" applyAlignment="1">
      <alignment horizontal="center"/>
    </xf>
    <xf numFmtId="0" fontId="23" fillId="2" borderId="0" xfId="0" applyFont="1" applyFill="1" applyAlignment="1">
      <alignment horizontal="center" wrapText="1"/>
    </xf>
    <xf numFmtId="169" fontId="2" fillId="2" borderId="0" xfId="0" applyNumberFormat="1" applyFont="1" applyFill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5" fillId="0" borderId="0" xfId="0" applyFont="1"/>
    <xf numFmtId="0" fontId="9" fillId="18" borderId="0" xfId="0" applyFont="1" applyFill="1" applyAlignment="1">
      <alignment horizontal="right" vertical="center" wrapText="1"/>
    </xf>
    <xf numFmtId="0" fontId="4" fillId="18" borderId="0" xfId="0" applyFont="1" applyFill="1" applyAlignment="1">
      <alignment horizontal="center" vertical="center" wrapText="1"/>
    </xf>
    <xf numFmtId="0" fontId="4" fillId="18" borderId="0" xfId="0" applyFont="1" applyFill="1" applyAlignment="1">
      <alignment horizontal="left" vertical="center" wrapText="1"/>
    </xf>
    <xf numFmtId="0" fontId="0" fillId="18" borderId="0" xfId="0" applyFill="1"/>
    <xf numFmtId="0" fontId="4" fillId="18" borderId="0" xfId="0" applyFont="1" applyFill="1" applyAlignment="1">
      <alignment horizontal="right" vertical="center"/>
    </xf>
    <xf numFmtId="0" fontId="4" fillId="18" borderId="0" xfId="0" applyFont="1" applyFill="1" applyAlignment="1">
      <alignment vertical="center"/>
    </xf>
    <xf numFmtId="0" fontId="0" fillId="18" borderId="0" xfId="0" applyFill="1" applyAlignment="1">
      <alignment horizontal="center"/>
    </xf>
    <xf numFmtId="0" fontId="0" fillId="18" borderId="0" xfId="0" applyFill="1" applyAlignment="1">
      <alignment horizontal="center" vertical="center"/>
    </xf>
    <xf numFmtId="0" fontId="0" fillId="18" borderId="0" xfId="0" applyFill="1" applyAlignment="1">
      <alignment horizontal="center" vertical="top"/>
    </xf>
    <xf numFmtId="0" fontId="0" fillId="3" borderId="18" xfId="0" applyFill="1" applyBorder="1" applyAlignment="1">
      <alignment horizontal="right"/>
    </xf>
    <xf numFmtId="0" fontId="0" fillId="2" borderId="23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3" borderId="19" xfId="0" applyFill="1" applyBorder="1" applyAlignment="1">
      <alignment horizontal="right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12" borderId="29" xfId="0" applyFill="1" applyBorder="1"/>
    <xf numFmtId="0" fontId="0" fillId="12" borderId="0" xfId="0" applyFill="1"/>
    <xf numFmtId="0" fontId="38" fillId="12" borderId="0" xfId="0" applyFont="1" applyFill="1" applyAlignment="1">
      <alignment horizontal="center" vertical="center"/>
    </xf>
    <xf numFmtId="0" fontId="38" fillId="12" borderId="30" xfId="0" applyFont="1" applyFill="1" applyBorder="1" applyAlignment="1">
      <alignment horizontal="center" vertical="center"/>
    </xf>
    <xf numFmtId="0" fontId="41" fillId="2" borderId="19" xfId="0" applyFont="1" applyFill="1" applyBorder="1" applyAlignment="1">
      <alignment horizontal="center" vertical="center" wrapText="1"/>
    </xf>
    <xf numFmtId="3" fontId="0" fillId="0" borderId="3" xfId="0" applyNumberFormat="1" applyBorder="1" applyAlignment="1" applyProtection="1">
      <alignment horizontal="center"/>
      <protection locked="0"/>
    </xf>
    <xf numFmtId="3" fontId="2" fillId="8" borderId="18" xfId="0" applyNumberFormat="1" applyFont="1" applyFill="1" applyBorder="1" applyAlignment="1">
      <alignment horizontal="center"/>
    </xf>
    <xf numFmtId="3" fontId="0" fillId="3" borderId="51" xfId="0" applyNumberFormat="1" applyFill="1" applyBorder="1" applyAlignment="1">
      <alignment horizontal="center"/>
    </xf>
    <xf numFmtId="3" fontId="0" fillId="3" borderId="19" xfId="0" applyNumberFormat="1" applyFill="1" applyBorder="1" applyAlignment="1">
      <alignment horizontal="center"/>
    </xf>
    <xf numFmtId="3" fontId="0" fillId="8" borderId="18" xfId="0" applyNumberFormat="1" applyFill="1" applyBorder="1" applyAlignment="1">
      <alignment horizontal="center"/>
    </xf>
    <xf numFmtId="3" fontId="0" fillId="5" borderId="19" xfId="0" applyNumberFormat="1" applyFill="1" applyBorder="1" applyAlignment="1">
      <alignment horizontal="center"/>
    </xf>
    <xf numFmtId="3" fontId="0" fillId="5" borderId="52" xfId="0" applyNumberFormat="1" applyFill="1" applyBorder="1" applyAlignment="1">
      <alignment horizontal="center"/>
    </xf>
    <xf numFmtId="3" fontId="2" fillId="22" borderId="53" xfId="0" applyNumberFormat="1" applyFont="1" applyFill="1" applyBorder="1" applyAlignment="1">
      <alignment horizontal="center"/>
    </xf>
    <xf numFmtId="3" fontId="0" fillId="22" borderId="53" xfId="0" applyNumberFormat="1" applyFill="1" applyBorder="1" applyAlignment="1">
      <alignment horizontal="center"/>
    </xf>
    <xf numFmtId="0" fontId="11" fillId="2" borderId="34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39" fillId="12" borderId="0" xfId="0" applyFont="1" applyFill="1" applyAlignment="1">
      <alignment horizontal="center" vertical="center" wrapText="1"/>
    </xf>
    <xf numFmtId="0" fontId="45" fillId="10" borderId="53" xfId="0" applyFont="1" applyFill="1" applyBorder="1" applyAlignment="1">
      <alignment horizontal="center" vertical="center"/>
    </xf>
    <xf numFmtId="0" fontId="46" fillId="10" borderId="3" xfId="0" applyFont="1" applyFill="1" applyBorder="1" applyAlignment="1">
      <alignment horizontal="center" vertical="center"/>
    </xf>
    <xf numFmtId="171" fontId="42" fillId="10" borderId="34" xfId="0" applyNumberFormat="1" applyFont="1" applyFill="1" applyBorder="1" applyAlignment="1">
      <alignment horizontal="center" vertical="top" shrinkToFit="1"/>
    </xf>
    <xf numFmtId="171" fontId="37" fillId="10" borderId="51" xfId="0" applyNumberFormat="1" applyFont="1" applyFill="1" applyBorder="1" applyAlignment="1">
      <alignment horizontal="center" vertical="top" shrinkToFit="1"/>
    </xf>
    <xf numFmtId="3" fontId="2" fillId="22" borderId="3" xfId="0" applyNumberFormat="1" applyFont="1" applyFill="1" applyBorder="1" applyAlignment="1">
      <alignment horizontal="center"/>
    </xf>
    <xf numFmtId="3" fontId="0" fillId="22" borderId="3" xfId="0" applyNumberFormat="1" applyFill="1" applyBorder="1" applyAlignment="1">
      <alignment horizontal="center"/>
    </xf>
    <xf numFmtId="3" fontId="0" fillId="18" borderId="3" xfId="0" applyNumberFormat="1" applyFill="1" applyBorder="1" applyAlignment="1" applyProtection="1">
      <alignment horizontal="center"/>
      <protection locked="0"/>
    </xf>
    <xf numFmtId="0" fontId="0" fillId="16" borderId="62" xfId="0" applyFill="1" applyBorder="1"/>
    <xf numFmtId="0" fontId="0" fillId="16" borderId="63" xfId="0" applyFill="1" applyBorder="1"/>
    <xf numFmtId="0" fontId="0" fillId="16" borderId="64" xfId="0" applyFill="1" applyBorder="1"/>
    <xf numFmtId="3" fontId="2" fillId="21" borderId="65" xfId="0" applyNumberFormat="1" applyFont="1" applyFill="1" applyBorder="1" applyAlignment="1">
      <alignment horizontal="center" vertical="center"/>
    </xf>
    <xf numFmtId="3" fontId="2" fillId="21" borderId="1" xfId="0" applyNumberFormat="1" applyFont="1" applyFill="1" applyBorder="1" applyAlignment="1">
      <alignment horizontal="center" vertical="center"/>
    </xf>
    <xf numFmtId="0" fontId="48" fillId="16" borderId="1" xfId="0" applyFont="1" applyFill="1" applyBorder="1" applyAlignment="1">
      <alignment horizontal="center" vertical="center"/>
    </xf>
    <xf numFmtId="167" fontId="25" fillId="0" borderId="0" xfId="0" applyNumberFormat="1" applyFont="1" applyAlignment="1" applyProtection="1">
      <alignment horizontal="center"/>
      <protection locked="0"/>
    </xf>
    <xf numFmtId="4" fontId="25" fillId="0" borderId="0" xfId="0" applyNumberFormat="1" applyFont="1" applyAlignment="1" applyProtection="1">
      <alignment horizontal="center" vertical="center"/>
      <protection locked="0"/>
    </xf>
    <xf numFmtId="14" fontId="26" fillId="0" borderId="0" xfId="0" applyNumberFormat="1" applyFont="1"/>
    <xf numFmtId="14" fontId="25" fillId="0" borderId="0" xfId="0" applyNumberFormat="1" applyFont="1"/>
    <xf numFmtId="0" fontId="50" fillId="24" borderId="59" xfId="0" applyFont="1" applyFill="1" applyBorder="1" applyAlignment="1">
      <alignment horizontal="center" vertical="center"/>
    </xf>
    <xf numFmtId="0" fontId="51" fillId="24" borderId="60" xfId="0" applyFont="1" applyFill="1" applyBorder="1" applyAlignment="1">
      <alignment horizontal="center" vertical="center" shrinkToFit="1"/>
    </xf>
    <xf numFmtId="0" fontId="55" fillId="24" borderId="57" xfId="0" applyFont="1" applyFill="1" applyBorder="1" applyAlignment="1">
      <alignment horizontal="center" vertical="center"/>
    </xf>
    <xf numFmtId="0" fontId="56" fillId="24" borderId="45" xfId="0" applyFont="1" applyFill="1" applyBorder="1" applyAlignment="1">
      <alignment horizontal="center" vertical="center"/>
    </xf>
    <xf numFmtId="0" fontId="50" fillId="24" borderId="45" xfId="0" applyFont="1" applyFill="1" applyBorder="1" applyAlignment="1">
      <alignment horizontal="center" vertical="center"/>
    </xf>
    <xf numFmtId="0" fontId="51" fillId="24" borderId="45" xfId="0" applyFont="1" applyFill="1" applyBorder="1" applyAlignment="1">
      <alignment horizontal="center" vertical="center"/>
    </xf>
    <xf numFmtId="0" fontId="57" fillId="24" borderId="56" xfId="0" applyFont="1" applyFill="1" applyBorder="1" applyAlignment="1">
      <alignment horizontal="center" vertical="center"/>
    </xf>
    <xf numFmtId="0" fontId="45" fillId="25" borderId="53" xfId="0" applyFont="1" applyFill="1" applyBorder="1" applyAlignment="1">
      <alignment horizontal="center" vertical="center"/>
    </xf>
    <xf numFmtId="0" fontId="46" fillId="25" borderId="47" xfId="0" applyFont="1" applyFill="1" applyBorder="1" applyAlignment="1">
      <alignment horizontal="center" vertical="center"/>
    </xf>
    <xf numFmtId="0" fontId="62" fillId="10" borderId="53" xfId="0" applyFont="1" applyFill="1" applyBorder="1" applyAlignment="1">
      <alignment horizontal="center" vertical="center"/>
    </xf>
    <xf numFmtId="171" fontId="63" fillId="10" borderId="34" xfId="0" applyNumberFormat="1" applyFont="1" applyFill="1" applyBorder="1" applyAlignment="1">
      <alignment horizontal="center" vertical="top" shrinkToFit="1"/>
    </xf>
    <xf numFmtId="0" fontId="64" fillId="10" borderId="53" xfId="0" applyFont="1" applyFill="1" applyBorder="1" applyAlignment="1">
      <alignment horizontal="center" vertical="center"/>
    </xf>
    <xf numFmtId="171" fontId="65" fillId="10" borderId="34" xfId="0" applyNumberFormat="1" applyFont="1" applyFill="1" applyBorder="1" applyAlignment="1">
      <alignment horizontal="center" vertical="top" shrinkToFit="1"/>
    </xf>
    <xf numFmtId="0" fontId="66" fillId="10" borderId="48" xfId="0" applyFont="1" applyFill="1" applyBorder="1" applyAlignment="1">
      <alignment horizontal="center" vertical="center"/>
    </xf>
    <xf numFmtId="171" fontId="44" fillId="10" borderId="58" xfId="0" applyNumberFormat="1" applyFont="1" applyFill="1" applyBorder="1" applyAlignment="1">
      <alignment horizontal="center" vertical="top" shrinkToFit="1"/>
    </xf>
    <xf numFmtId="0" fontId="62" fillId="25" borderId="53" xfId="0" applyFont="1" applyFill="1" applyBorder="1" applyAlignment="1">
      <alignment horizontal="center" vertical="center"/>
    </xf>
    <xf numFmtId="0" fontId="64" fillId="25" borderId="53" xfId="0" applyFont="1" applyFill="1" applyBorder="1" applyAlignment="1">
      <alignment horizontal="center" vertical="center"/>
    </xf>
    <xf numFmtId="0" fontId="66" fillId="25" borderId="48" xfId="0" applyFont="1" applyFill="1" applyBorder="1" applyAlignment="1">
      <alignment horizontal="center" vertical="center"/>
    </xf>
    <xf numFmtId="3" fontId="0" fillId="22" borderId="11" xfId="0" applyNumberFormat="1" applyFill="1" applyBorder="1" applyAlignment="1">
      <alignment horizontal="center"/>
    </xf>
    <xf numFmtId="3" fontId="0" fillId="22" borderId="4" xfId="0" applyNumberFormat="1" applyFill="1" applyBorder="1" applyAlignment="1">
      <alignment horizontal="center"/>
    </xf>
    <xf numFmtId="167" fontId="0" fillId="0" borderId="35" xfId="0" applyNumberFormat="1" applyBorder="1" applyAlignment="1">
      <alignment horizontal="center"/>
    </xf>
    <xf numFmtId="175" fontId="6" fillId="21" borderId="65" xfId="0" applyNumberFormat="1" applyFont="1" applyFill="1" applyBorder="1" applyAlignment="1">
      <alignment horizontal="center" vertical="center"/>
    </xf>
    <xf numFmtId="2" fontId="6" fillId="12" borderId="65" xfId="0" applyNumberFormat="1" applyFont="1" applyFill="1" applyBorder="1" applyAlignment="1">
      <alignment horizontal="center" vertical="center"/>
    </xf>
    <xf numFmtId="175" fontId="6" fillId="21" borderId="1" xfId="0" applyNumberFormat="1" applyFont="1" applyFill="1" applyBorder="1" applyAlignment="1">
      <alignment horizontal="center" vertical="center"/>
    </xf>
    <xf numFmtId="2" fontId="6" fillId="12" borderId="1" xfId="0" applyNumberFormat="1" applyFont="1" applyFill="1" applyBorder="1" applyAlignment="1">
      <alignment horizontal="center" vertical="center"/>
    </xf>
    <xf numFmtId="175" fontId="49" fillId="16" borderId="1" xfId="0" applyNumberFormat="1" applyFont="1" applyFill="1" applyBorder="1" applyAlignment="1">
      <alignment horizontal="center" vertical="center"/>
    </xf>
    <xf numFmtId="2" fontId="49" fillId="16" borderId="1" xfId="0" applyNumberFormat="1" applyFont="1" applyFill="1" applyBorder="1" applyAlignment="1">
      <alignment horizontal="center" vertical="center"/>
    </xf>
    <xf numFmtId="3" fontId="0" fillId="16" borderId="64" xfId="0" applyNumberFormat="1" applyFill="1" applyBorder="1" applyAlignment="1">
      <alignment horizontal="center" vertical="center"/>
    </xf>
    <xf numFmtId="0" fontId="0" fillId="16" borderId="61" xfId="0" applyFill="1" applyBorder="1" applyAlignment="1">
      <alignment horizontal="right"/>
    </xf>
    <xf numFmtId="0" fontId="0" fillId="16" borderId="62" xfId="0" applyFill="1" applyBorder="1" applyAlignment="1">
      <alignment horizontal="center"/>
    </xf>
    <xf numFmtId="176" fontId="52" fillId="25" borderId="58" xfId="0" applyNumberFormat="1" applyFont="1" applyFill="1" applyBorder="1" applyAlignment="1">
      <alignment horizontal="center" vertical="top" shrinkToFit="1"/>
    </xf>
    <xf numFmtId="176" fontId="68" fillId="25" borderId="34" xfId="0" applyNumberFormat="1" applyFont="1" applyFill="1" applyBorder="1" applyAlignment="1">
      <alignment horizontal="center" vertical="top" shrinkToFit="1"/>
    </xf>
    <xf numFmtId="176" fontId="43" fillId="25" borderId="34" xfId="0" applyNumberFormat="1" applyFont="1" applyFill="1" applyBorder="1" applyAlignment="1">
      <alignment horizontal="center" vertical="top" shrinkToFit="1"/>
    </xf>
    <xf numFmtId="176" fontId="67" fillId="25" borderId="34" xfId="0" applyNumberFormat="1" applyFont="1" applyFill="1" applyBorder="1" applyAlignment="1">
      <alignment horizontal="center" vertical="top" shrinkToFit="1"/>
    </xf>
    <xf numFmtId="176" fontId="40" fillId="25" borderId="37" xfId="0" applyNumberFormat="1" applyFont="1" applyFill="1" applyBorder="1" applyAlignment="1">
      <alignment horizontal="center" vertical="top" shrinkToFit="1"/>
    </xf>
    <xf numFmtId="0" fontId="25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167" fontId="25" fillId="0" borderId="0" xfId="0" applyNumberFormat="1" applyFont="1"/>
    <xf numFmtId="0" fontId="61" fillId="24" borderId="60" xfId="0" applyFont="1" applyFill="1" applyBorder="1" applyAlignment="1">
      <alignment horizontal="center" vertical="center" shrinkToFit="1"/>
    </xf>
    <xf numFmtId="0" fontId="70" fillId="24" borderId="54" xfId="0" applyFont="1" applyFill="1" applyBorder="1" applyAlignment="1">
      <alignment horizontal="center" vertical="center" wrapText="1"/>
    </xf>
    <xf numFmtId="0" fontId="71" fillId="2" borderId="32" xfId="0" applyFont="1" applyFill="1" applyBorder="1" applyAlignment="1">
      <alignment horizontal="center" vertical="center" shrinkToFit="1"/>
    </xf>
    <xf numFmtId="0" fontId="7" fillId="18" borderId="0" xfId="0" applyFont="1" applyFill="1" applyAlignment="1" applyProtection="1">
      <alignment horizontal="center" vertical="center"/>
      <protection locked="0"/>
    </xf>
    <xf numFmtId="0" fontId="0" fillId="18" borderId="50" xfId="0" applyFill="1" applyBorder="1"/>
    <xf numFmtId="0" fontId="11" fillId="2" borderId="43" xfId="0" applyFont="1" applyFill="1" applyBorder="1" applyAlignment="1">
      <alignment horizontal="center" vertical="center" wrapText="1"/>
    </xf>
    <xf numFmtId="0" fontId="0" fillId="16" borderId="62" xfId="0" applyFill="1" applyBorder="1" applyAlignment="1">
      <alignment horizontal="left"/>
    </xf>
    <xf numFmtId="0" fontId="59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58" fillId="0" borderId="0" xfId="0" applyFont="1" applyAlignment="1">
      <alignment horizontal="center" wrapText="1"/>
    </xf>
    <xf numFmtId="0" fontId="60" fillId="0" borderId="0" xfId="0" applyFont="1" applyAlignment="1" applyProtection="1">
      <alignment horizontal="center" vertical="center" wrapText="1"/>
      <protection locked="0"/>
    </xf>
    <xf numFmtId="0" fontId="58" fillId="0" borderId="0" xfId="0" applyFont="1"/>
    <xf numFmtId="4" fontId="25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right"/>
    </xf>
    <xf numFmtId="167" fontId="58" fillId="0" borderId="0" xfId="0" applyNumberFormat="1" applyFont="1" applyAlignment="1">
      <alignment horizontal="center"/>
    </xf>
    <xf numFmtId="167" fontId="25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left"/>
    </xf>
    <xf numFmtId="2" fontId="25" fillId="0" borderId="0" xfId="0" applyNumberFormat="1" applyFont="1" applyAlignment="1">
      <alignment horizontal="center"/>
    </xf>
    <xf numFmtId="1" fontId="0" fillId="18" borderId="0" xfId="0" applyNumberFormat="1" applyFill="1" applyAlignment="1">
      <alignment horizontal="center" vertical="center"/>
    </xf>
    <xf numFmtId="0" fontId="72" fillId="2" borderId="9" xfId="0" applyFont="1" applyFill="1" applyBorder="1" applyAlignment="1">
      <alignment horizontal="center" vertical="center" shrinkToFit="1"/>
    </xf>
    <xf numFmtId="0" fontId="60" fillId="0" borderId="0" xfId="0" applyFont="1" applyAlignment="1">
      <alignment horizontal="center" vertical="center" wrapText="1"/>
    </xf>
    <xf numFmtId="3" fontId="25" fillId="0" borderId="0" xfId="0" applyNumberFormat="1" applyFont="1" applyAlignment="1" applyProtection="1">
      <alignment horizontal="center"/>
      <protection locked="0"/>
    </xf>
    <xf numFmtId="176" fontId="12" fillId="26" borderId="4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3" fontId="26" fillId="0" borderId="0" xfId="0" applyNumberFormat="1" applyFont="1" applyAlignment="1">
      <alignment horizontal="center"/>
    </xf>
    <xf numFmtId="167" fontId="26" fillId="0" borderId="0" xfId="0" applyNumberFormat="1" applyFont="1"/>
    <xf numFmtId="0" fontId="0" fillId="0" borderId="0" xfId="0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 vertical="top"/>
    </xf>
    <xf numFmtId="0" fontId="12" fillId="14" borderId="72" xfId="0" applyFont="1" applyFill="1" applyBorder="1" applyAlignment="1">
      <alignment horizontal="center" vertical="center"/>
    </xf>
    <xf numFmtId="0" fontId="12" fillId="14" borderId="73" xfId="0" applyFont="1" applyFill="1" applyBorder="1" applyAlignment="1">
      <alignment horizontal="center" vertical="center"/>
    </xf>
    <xf numFmtId="167" fontId="38" fillId="10" borderId="74" xfId="0" applyNumberFormat="1" applyFont="1" applyFill="1" applyBorder="1" applyAlignment="1">
      <alignment horizontal="center" vertical="center" shrinkToFit="1"/>
    </xf>
    <xf numFmtId="0" fontId="12" fillId="10" borderId="1" xfId="0" applyFont="1" applyFill="1" applyBorder="1" applyAlignment="1">
      <alignment horizontal="center" vertical="center" shrinkToFit="1"/>
    </xf>
    <xf numFmtId="168" fontId="38" fillId="10" borderId="75" xfId="0" applyNumberFormat="1" applyFont="1" applyFill="1" applyBorder="1" applyAlignment="1">
      <alignment horizontal="center" vertical="center" shrinkToFit="1"/>
    </xf>
    <xf numFmtId="3" fontId="38" fillId="9" borderId="74" xfId="0" applyNumberFormat="1" applyFont="1" applyFill="1" applyBorder="1" applyAlignment="1">
      <alignment horizontal="center" vertical="center" shrinkToFit="1"/>
    </xf>
    <xf numFmtId="0" fontId="12" fillId="9" borderId="1" xfId="0" applyFont="1" applyFill="1" applyBorder="1" applyAlignment="1">
      <alignment horizontal="center" vertical="center" shrinkToFit="1"/>
    </xf>
    <xf numFmtId="3" fontId="38" fillId="9" borderId="75" xfId="0" applyNumberFormat="1" applyFont="1" applyFill="1" applyBorder="1" applyAlignment="1">
      <alignment horizontal="center" vertical="center" shrinkToFit="1"/>
    </xf>
    <xf numFmtId="3" fontId="38" fillId="11" borderId="71" xfId="0" applyNumberFormat="1" applyFont="1" applyFill="1" applyBorder="1" applyAlignment="1">
      <alignment horizontal="center" vertical="center" shrinkToFit="1"/>
    </xf>
    <xf numFmtId="0" fontId="12" fillId="11" borderId="76" xfId="0" applyFont="1" applyFill="1" applyBorder="1" applyAlignment="1">
      <alignment horizontal="center" vertical="center" shrinkToFit="1"/>
    </xf>
    <xf numFmtId="3" fontId="38" fillId="11" borderId="77" xfId="0" applyNumberFormat="1" applyFont="1" applyFill="1" applyBorder="1" applyAlignment="1">
      <alignment horizontal="center" vertical="center" shrinkToFit="1"/>
    </xf>
    <xf numFmtId="178" fontId="0" fillId="0" borderId="0" xfId="0" applyNumberFormat="1"/>
    <xf numFmtId="3" fontId="38" fillId="18" borderId="0" xfId="0" applyNumberFormat="1" applyFont="1" applyFill="1" applyAlignment="1">
      <alignment horizontal="center" vertical="center" shrinkToFit="1"/>
    </xf>
    <xf numFmtId="0" fontId="12" fillId="18" borderId="0" xfId="0" applyFont="1" applyFill="1" applyAlignment="1">
      <alignment horizontal="center" vertical="center" shrinkToFit="1"/>
    </xf>
    <xf numFmtId="1" fontId="77" fillId="5" borderId="83" xfId="0" applyNumberFormat="1" applyFont="1" applyFill="1" applyBorder="1" applyAlignment="1" applyProtection="1">
      <alignment horizontal="center" vertical="center"/>
      <protection locked="0"/>
    </xf>
    <xf numFmtId="0" fontId="79" fillId="29" borderId="53" xfId="0" applyFont="1" applyFill="1" applyBorder="1" applyAlignment="1">
      <alignment horizontal="right" vertical="center"/>
    </xf>
    <xf numFmtId="0" fontId="73" fillId="27" borderId="83" xfId="0" applyFont="1" applyFill="1" applyBorder="1" applyAlignment="1" applyProtection="1">
      <alignment horizontal="center" vertical="center"/>
      <protection locked="0"/>
    </xf>
    <xf numFmtId="171" fontId="27" fillId="17" borderId="84" xfId="0" applyNumberFormat="1" applyFont="1" applyFill="1" applyBorder="1" applyAlignment="1">
      <alignment horizontal="center" vertical="center" shrinkToFit="1"/>
    </xf>
    <xf numFmtId="172" fontId="27" fillId="17" borderId="84" xfId="0" applyNumberFormat="1" applyFont="1" applyFill="1" applyBorder="1" applyAlignment="1">
      <alignment horizontal="center" vertical="center" shrinkToFit="1"/>
    </xf>
    <xf numFmtId="171" fontId="35" fillId="15" borderId="46" xfId="0" applyNumberFormat="1" applyFont="1" applyFill="1" applyBorder="1" applyAlignment="1">
      <alignment horizontal="center" vertical="center" shrinkToFit="1"/>
    </xf>
    <xf numFmtId="173" fontId="35" fillId="15" borderId="46" xfId="0" applyNumberFormat="1" applyFont="1" applyFill="1" applyBorder="1" applyAlignment="1">
      <alignment horizontal="center" vertical="center" shrinkToFit="1"/>
    </xf>
    <xf numFmtId="174" fontId="35" fillId="15" borderId="46" xfId="0" applyNumberFormat="1" applyFont="1" applyFill="1" applyBorder="1" applyAlignment="1">
      <alignment horizontal="center" vertical="center" shrinkToFit="1"/>
    </xf>
    <xf numFmtId="0" fontId="33" fillId="7" borderId="70" xfId="0" applyFont="1" applyFill="1" applyBorder="1" applyAlignment="1">
      <alignment horizontal="center" vertical="center"/>
    </xf>
    <xf numFmtId="174" fontId="27" fillId="17" borderId="85" xfId="0" applyNumberFormat="1" applyFont="1" applyFill="1" applyBorder="1" applyAlignment="1">
      <alignment horizontal="center" vertical="center" shrinkToFit="1"/>
    </xf>
    <xf numFmtId="3" fontId="30" fillId="6" borderId="50" xfId="0" applyNumberFormat="1" applyFont="1" applyFill="1" applyBorder="1" applyAlignment="1">
      <alignment horizontal="center" vertical="center" shrinkToFit="1"/>
    </xf>
    <xf numFmtId="0" fontId="0" fillId="9" borderId="86" xfId="0" applyFill="1" applyBorder="1" applyAlignment="1">
      <alignment horizontal="center" vertical="center"/>
    </xf>
    <xf numFmtId="0" fontId="0" fillId="11" borderId="86" xfId="0" applyFill="1" applyBorder="1" applyAlignment="1">
      <alignment horizontal="center" vertical="center"/>
    </xf>
    <xf numFmtId="0" fontId="33" fillId="5" borderId="83" xfId="0" applyFont="1" applyFill="1" applyBorder="1" applyAlignment="1" applyProtection="1">
      <alignment horizontal="center" vertical="center"/>
      <protection locked="0"/>
    </xf>
    <xf numFmtId="3" fontId="21" fillId="9" borderId="75" xfId="0" applyNumberFormat="1" applyFont="1" applyFill="1" applyBorder="1" applyAlignment="1">
      <alignment horizontal="center" vertical="center" shrinkToFit="1"/>
    </xf>
    <xf numFmtId="3" fontId="21" fillId="11" borderId="77" xfId="0" applyNumberFormat="1" applyFont="1" applyFill="1" applyBorder="1" applyAlignment="1">
      <alignment horizontal="center" vertical="center" shrinkToFit="1"/>
    </xf>
    <xf numFmtId="0" fontId="4" fillId="14" borderId="73" xfId="0" applyFont="1" applyFill="1" applyBorder="1" applyAlignment="1">
      <alignment horizontal="center" vertical="center" wrapText="1"/>
    </xf>
    <xf numFmtId="168" fontId="21" fillId="10" borderId="75" xfId="0" applyNumberFormat="1" applyFont="1" applyFill="1" applyBorder="1" applyAlignment="1">
      <alignment horizontal="center" vertical="center" shrinkToFit="1"/>
    </xf>
    <xf numFmtId="0" fontId="29" fillId="6" borderId="66" xfId="0" applyFont="1" applyFill="1" applyBorder="1" applyAlignment="1">
      <alignment horizontal="center" vertical="center" wrapText="1" shrinkToFit="1"/>
    </xf>
    <xf numFmtId="0" fontId="69" fillId="19" borderId="66" xfId="0" applyFont="1" applyFill="1" applyBorder="1" applyAlignment="1">
      <alignment horizontal="center" wrapText="1"/>
    </xf>
    <xf numFmtId="0" fontId="12" fillId="5" borderId="89" xfId="0" applyFont="1" applyFill="1" applyBorder="1" applyAlignment="1" applyProtection="1">
      <alignment horizontal="center" vertical="center"/>
      <protection locked="0"/>
    </xf>
    <xf numFmtId="0" fontId="0" fillId="10" borderId="86" xfId="0" applyFill="1" applyBorder="1" applyAlignment="1">
      <alignment horizontal="center" vertical="center"/>
    </xf>
    <xf numFmtId="0" fontId="88" fillId="27" borderId="83" xfId="0" applyFont="1" applyFill="1" applyBorder="1" applyAlignment="1" applyProtection="1">
      <alignment horizontal="center" vertical="center" shrinkToFit="1"/>
      <protection locked="0"/>
    </xf>
    <xf numFmtId="0" fontId="79" fillId="29" borderId="53" xfId="0" applyFont="1" applyFill="1" applyBorder="1" applyAlignment="1">
      <alignment horizontal="right"/>
    </xf>
    <xf numFmtId="0" fontId="79" fillId="29" borderId="53" xfId="0" applyFont="1" applyFill="1" applyBorder="1" applyAlignment="1">
      <alignment horizontal="right" vertical="top"/>
    </xf>
    <xf numFmtId="0" fontId="79" fillId="29" borderId="55" xfId="0" applyFont="1" applyFill="1" applyBorder="1" applyAlignment="1">
      <alignment horizontal="right" vertical="top"/>
    </xf>
    <xf numFmtId="0" fontId="79" fillId="29" borderId="11" xfId="0" applyFont="1" applyFill="1" applyBorder="1" applyAlignment="1">
      <alignment horizontal="right" vertical="center"/>
    </xf>
    <xf numFmtId="0" fontId="22" fillId="2" borderId="9" xfId="0" applyFont="1" applyFill="1" applyBorder="1" applyAlignment="1">
      <alignment horizontal="center" vertical="center" wrapText="1"/>
    </xf>
    <xf numFmtId="0" fontId="0" fillId="6" borderId="46" xfId="0" applyFill="1" applyBorder="1"/>
    <xf numFmtId="0" fontId="0" fillId="6" borderId="50" xfId="0" applyFill="1" applyBorder="1"/>
    <xf numFmtId="0" fontId="91" fillId="6" borderId="46" xfId="0" applyFont="1" applyFill="1" applyBorder="1" applyAlignment="1">
      <alignment horizontal="center" vertical="center"/>
    </xf>
    <xf numFmtId="0" fontId="93" fillId="6" borderId="50" xfId="0" applyFont="1" applyFill="1" applyBorder="1" applyAlignment="1">
      <alignment horizontal="center" vertical="center"/>
    </xf>
    <xf numFmtId="1" fontId="26" fillId="0" borderId="0" xfId="0" applyNumberFormat="1" applyFont="1" applyAlignment="1">
      <alignment horizontal="center"/>
    </xf>
    <xf numFmtId="3" fontId="2" fillId="22" borderId="92" xfId="0" applyNumberFormat="1" applyFont="1" applyFill="1" applyBorder="1" applyAlignment="1">
      <alignment horizontal="center"/>
    </xf>
    <xf numFmtId="3" fontId="0" fillId="22" borderId="63" xfId="0" applyNumberFormat="1" applyFill="1" applyBorder="1" applyAlignment="1">
      <alignment horizontal="center"/>
    </xf>
    <xf numFmtId="3" fontId="0" fillId="22" borderId="61" xfId="0" applyNumberFormat="1" applyFill="1" applyBorder="1" applyAlignment="1">
      <alignment horizontal="center"/>
    </xf>
    <xf numFmtId="3" fontId="10" fillId="2" borderId="94" xfId="0" applyNumberFormat="1" applyFont="1" applyFill="1" applyBorder="1" applyAlignment="1">
      <alignment horizontal="center"/>
    </xf>
    <xf numFmtId="168" fontId="47" fillId="12" borderId="95" xfId="0" applyNumberFormat="1" applyFont="1" applyFill="1" applyBorder="1" applyAlignment="1">
      <alignment horizontal="center" vertical="center"/>
    </xf>
    <xf numFmtId="3" fontId="10" fillId="21" borderId="72" xfId="0" applyNumberFormat="1" applyFont="1" applyFill="1" applyBorder="1" applyAlignment="1">
      <alignment horizontal="center" vertical="center"/>
    </xf>
    <xf numFmtId="2" fontId="6" fillId="12" borderId="73" xfId="0" applyNumberFormat="1" applyFont="1" applyFill="1" applyBorder="1" applyAlignment="1">
      <alignment horizontal="right" vertical="center" indent="2"/>
    </xf>
    <xf numFmtId="3" fontId="10" fillId="21" borderId="74" xfId="0" applyNumberFormat="1" applyFont="1" applyFill="1" applyBorder="1" applyAlignment="1">
      <alignment horizontal="center" vertical="center"/>
    </xf>
    <xf numFmtId="2" fontId="6" fillId="12" borderId="75" xfId="0" applyNumberFormat="1" applyFont="1" applyFill="1" applyBorder="1" applyAlignment="1">
      <alignment horizontal="right" vertical="center" indent="2"/>
    </xf>
    <xf numFmtId="0" fontId="53" fillId="16" borderId="74" xfId="0" applyFont="1" applyFill="1" applyBorder="1" applyAlignment="1">
      <alignment horizontal="center" vertical="center"/>
    </xf>
    <xf numFmtId="2" fontId="49" fillId="16" borderId="75" xfId="0" applyNumberFormat="1" applyFont="1" applyFill="1" applyBorder="1" applyAlignment="1">
      <alignment horizontal="right" vertical="center" indent="2"/>
    </xf>
    <xf numFmtId="3" fontId="10" fillId="16" borderId="71" xfId="0" applyNumberFormat="1" applyFont="1" applyFill="1" applyBorder="1" applyAlignment="1">
      <alignment horizontal="center" vertical="center"/>
    </xf>
    <xf numFmtId="3" fontId="11" fillId="16" borderId="76" xfId="0" applyNumberFormat="1" applyFont="1" applyFill="1" applyBorder="1" applyAlignment="1">
      <alignment horizontal="center" vertical="center"/>
    </xf>
    <xf numFmtId="175" fontId="22" fillId="16" borderId="76" xfId="0" applyNumberFormat="1" applyFont="1" applyFill="1" applyBorder="1" applyAlignment="1">
      <alignment horizontal="center" vertical="center"/>
    </xf>
    <xf numFmtId="2" fontId="22" fillId="16" borderId="76" xfId="0" applyNumberFormat="1" applyFont="1" applyFill="1" applyBorder="1" applyAlignment="1">
      <alignment horizontal="center" vertical="center"/>
    </xf>
    <xf numFmtId="2" fontId="22" fillId="16" borderId="77" xfId="0" applyNumberFormat="1" applyFont="1" applyFill="1" applyBorder="1" applyAlignment="1">
      <alignment horizontal="center" vertical="center"/>
    </xf>
    <xf numFmtId="0" fontId="0" fillId="0" borderId="46" xfId="0" applyBorder="1" applyAlignment="1">
      <alignment horizontal="left" indent="5"/>
    </xf>
    <xf numFmtId="3" fontId="58" fillId="0" borderId="0" xfId="0" applyNumberFormat="1" applyFont="1" applyAlignment="1">
      <alignment horizontal="center"/>
    </xf>
    <xf numFmtId="3" fontId="10" fillId="12" borderId="94" xfId="0" applyNumberFormat="1" applyFont="1" applyFill="1" applyBorder="1" applyAlignment="1">
      <alignment horizontal="center"/>
    </xf>
    <xf numFmtId="0" fontId="94" fillId="6" borderId="46" xfId="0" applyFont="1" applyFill="1" applyBorder="1" applyAlignment="1">
      <alignment horizontal="center" vertical="center"/>
    </xf>
    <xf numFmtId="0" fontId="95" fillId="6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left"/>
    </xf>
    <xf numFmtId="0" fontId="96" fillId="0" borderId="0" xfId="0" applyFont="1"/>
    <xf numFmtId="0" fontId="97" fillId="0" borderId="0" xfId="0" applyFont="1"/>
    <xf numFmtId="0" fontId="98" fillId="12" borderId="31" xfId="0" applyFont="1" applyFill="1" applyBorder="1" applyAlignment="1">
      <alignment horizontal="center" wrapText="1" shrinkToFit="1"/>
    </xf>
    <xf numFmtId="0" fontId="97" fillId="0" borderId="0" xfId="0" applyFont="1" applyAlignment="1">
      <alignment horizontal="center"/>
    </xf>
    <xf numFmtId="165" fontId="26" fillId="0" borderId="0" xfId="0" applyNumberFormat="1" applyFont="1"/>
    <xf numFmtId="43" fontId="0" fillId="0" borderId="0" xfId="1390" applyFont="1" applyProtection="1"/>
    <xf numFmtId="3" fontId="0" fillId="22" borderId="11" xfId="0" applyNumberFormat="1" applyFill="1" applyBorder="1" applyAlignment="1" applyProtection="1">
      <alignment horizontal="center"/>
      <protection locked="0"/>
    </xf>
    <xf numFmtId="3" fontId="0" fillId="22" borderId="4" xfId="0" applyNumberFormat="1" applyFill="1" applyBorder="1" applyAlignment="1" applyProtection="1">
      <alignment horizontal="center"/>
      <protection locked="0"/>
    </xf>
    <xf numFmtId="3" fontId="0" fillId="22" borderId="53" xfId="0" applyNumberFormat="1" applyFill="1" applyBorder="1" applyAlignment="1" applyProtection="1">
      <alignment horizontal="center"/>
      <protection locked="0"/>
    </xf>
    <xf numFmtId="0" fontId="96" fillId="0" borderId="0" xfId="0" applyFont="1" applyAlignment="1">
      <alignment horizontal="center"/>
    </xf>
    <xf numFmtId="0" fontId="96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16" borderId="0" xfId="0" applyFont="1" applyFill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3" fontId="26" fillId="0" borderId="0" xfId="0" applyNumberFormat="1" applyFont="1" applyAlignment="1">
      <alignment horizontal="left"/>
    </xf>
    <xf numFmtId="2" fontId="26" fillId="0" borderId="0" xfId="0" applyNumberFormat="1" applyFont="1" applyAlignment="1">
      <alignment horizontal="center"/>
    </xf>
    <xf numFmtId="175" fontId="97" fillId="0" borderId="0" xfId="0" applyNumberFormat="1" applyFont="1" applyAlignment="1">
      <alignment horizontal="center"/>
    </xf>
    <xf numFmtId="0" fontId="101" fillId="0" borderId="0" xfId="0" applyFont="1" applyAlignment="1">
      <alignment horizontal="center"/>
    </xf>
    <xf numFmtId="0" fontId="101" fillId="0" borderId="0" xfId="0" applyFont="1"/>
    <xf numFmtId="0" fontId="102" fillId="0" borderId="0" xfId="0" applyFont="1"/>
    <xf numFmtId="0" fontId="101" fillId="0" borderId="0" xfId="0" applyFont="1" applyAlignment="1">
      <alignment horizontal="center" vertical="center" wrapText="1"/>
    </xf>
    <xf numFmtId="0" fontId="102" fillId="0" borderId="0" xfId="0" applyFont="1" applyAlignment="1">
      <alignment vertical="center" wrapText="1"/>
    </xf>
    <xf numFmtId="0" fontId="101" fillId="0" borderId="0" xfId="0" applyFont="1" applyAlignment="1">
      <alignment horizontal="center" wrapText="1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 horizontal="center" wrapText="1"/>
    </xf>
    <xf numFmtId="0" fontId="102" fillId="0" borderId="0" xfId="0" applyFont="1" applyAlignment="1">
      <alignment horizontal="center" wrapText="1"/>
    </xf>
    <xf numFmtId="0" fontId="0" fillId="18" borderId="0" xfId="0" applyFill="1" applyAlignment="1">
      <alignment vertical="top"/>
    </xf>
    <xf numFmtId="0" fontId="104" fillId="18" borderId="0" xfId="0" applyFont="1" applyFill="1" applyAlignment="1">
      <alignment horizontal="left" vertical="top"/>
    </xf>
    <xf numFmtId="3" fontId="7" fillId="31" borderId="23" xfId="0" applyNumberFormat="1" applyFont="1" applyFill="1" applyBorder="1" applyAlignment="1" applyProtection="1">
      <alignment horizontal="center"/>
      <protection locked="0"/>
    </xf>
    <xf numFmtId="3" fontId="7" fillId="31" borderId="35" xfId="0" applyNumberFormat="1" applyFont="1" applyFill="1" applyBorder="1" applyAlignment="1" applyProtection="1">
      <alignment horizontal="center"/>
      <protection locked="0"/>
    </xf>
    <xf numFmtId="3" fontId="7" fillId="31" borderId="69" xfId="0" applyNumberFormat="1" applyFont="1" applyFill="1" applyBorder="1" applyAlignment="1" applyProtection="1">
      <alignment horizontal="center"/>
      <protection locked="0"/>
    </xf>
    <xf numFmtId="3" fontId="7" fillId="31" borderId="36" xfId="0" applyNumberFormat="1" applyFont="1" applyFill="1" applyBorder="1" applyAlignment="1" applyProtection="1">
      <alignment horizontal="center"/>
      <protection locked="0"/>
    </xf>
    <xf numFmtId="0" fontId="104" fillId="18" borderId="0" xfId="0" applyFont="1" applyFill="1" applyAlignment="1">
      <alignment horizontal="left"/>
    </xf>
    <xf numFmtId="0" fontId="39" fillId="18" borderId="0" xfId="0" applyFont="1" applyFill="1" applyAlignment="1">
      <alignment horizontal="center" vertical="top"/>
    </xf>
    <xf numFmtId="0" fontId="105" fillId="18" borderId="0" xfId="0" applyFont="1" applyFill="1" applyAlignment="1">
      <alignment horizontal="center" vertical="center"/>
    </xf>
    <xf numFmtId="0" fontId="106" fillId="18" borderId="0" xfId="0" applyFont="1" applyFill="1" applyAlignment="1">
      <alignment horizontal="center"/>
    </xf>
    <xf numFmtId="3" fontId="97" fillId="0" borderId="35" xfId="0" applyNumberFormat="1" applyFont="1" applyBorder="1" applyAlignment="1" applyProtection="1">
      <alignment horizontal="center"/>
      <protection locked="0"/>
    </xf>
    <xf numFmtId="3" fontId="7" fillId="34" borderId="23" xfId="0" applyNumberFormat="1" applyFont="1" applyFill="1" applyBorder="1" applyAlignment="1" applyProtection="1">
      <alignment horizontal="center"/>
      <protection locked="0"/>
    </xf>
    <xf numFmtId="0" fontId="1" fillId="0" borderId="0" xfId="0" applyFont="1"/>
    <xf numFmtId="0" fontId="4" fillId="28" borderId="101" xfId="0" applyFont="1" applyFill="1" applyBorder="1" applyAlignment="1">
      <alignment horizontal="center" vertical="center" wrapText="1"/>
    </xf>
    <xf numFmtId="0" fontId="1" fillId="28" borderId="33" xfId="0" applyFont="1" applyFill="1" applyBorder="1"/>
    <xf numFmtId="168" fontId="1" fillId="28" borderId="73" xfId="0" applyNumberFormat="1" applyFont="1" applyFill="1" applyBorder="1" applyAlignment="1">
      <alignment horizontal="center" vertical="center"/>
    </xf>
    <xf numFmtId="168" fontId="1" fillId="28" borderId="75" xfId="0" applyNumberFormat="1" applyFont="1" applyFill="1" applyBorder="1" applyAlignment="1">
      <alignment horizontal="center" vertical="center"/>
    </xf>
    <xf numFmtId="49" fontId="0" fillId="0" borderId="0" xfId="0" applyNumberFormat="1"/>
    <xf numFmtId="168" fontId="1" fillId="28" borderId="82" xfId="0" applyNumberFormat="1" applyFont="1" applyFill="1" applyBorder="1" applyAlignment="1">
      <alignment horizontal="center" vertical="center"/>
    </xf>
    <xf numFmtId="168" fontId="1" fillId="28" borderId="77" xfId="0" applyNumberFormat="1" applyFont="1" applyFill="1" applyBorder="1" applyAlignment="1">
      <alignment horizontal="center" vertical="center"/>
    </xf>
    <xf numFmtId="168" fontId="1" fillId="28" borderId="103" xfId="0" applyNumberFormat="1" applyFont="1" applyFill="1" applyBorder="1" applyAlignment="1">
      <alignment horizontal="center" vertical="center"/>
    </xf>
    <xf numFmtId="0" fontId="26" fillId="9" borderId="1" xfId="0" applyFont="1" applyFill="1" applyBorder="1"/>
    <xf numFmtId="0" fontId="26" fillId="9" borderId="75" xfId="0" applyFont="1" applyFill="1" applyBorder="1"/>
    <xf numFmtId="0" fontId="26" fillId="9" borderId="11" xfId="0" applyFont="1" applyFill="1" applyBorder="1"/>
    <xf numFmtId="0" fontId="26" fillId="9" borderId="82" xfId="0" applyFont="1" applyFill="1" applyBorder="1"/>
    <xf numFmtId="1" fontId="26" fillId="33" borderId="102" xfId="0" applyNumberFormat="1" applyFont="1" applyFill="1" applyBorder="1" applyAlignment="1" applyProtection="1">
      <alignment horizontal="center" vertical="center" wrapText="1"/>
      <protection locked="0"/>
    </xf>
    <xf numFmtId="1" fontId="26" fillId="9" borderId="65" xfId="0" applyNumberFormat="1" applyFont="1" applyFill="1" applyBorder="1" applyAlignment="1" applyProtection="1">
      <alignment horizontal="center" vertical="center"/>
      <protection locked="0"/>
    </xf>
    <xf numFmtId="1" fontId="26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26" fillId="9" borderId="1" xfId="0" applyNumberFormat="1" applyFont="1" applyFill="1" applyBorder="1" applyAlignment="1" applyProtection="1">
      <alignment horizontal="center" vertical="center"/>
      <protection locked="0"/>
    </xf>
    <xf numFmtId="0" fontId="26" fillId="33" borderId="1" xfId="0" applyFont="1" applyFill="1" applyBorder="1" applyAlignment="1" applyProtection="1">
      <alignment horizontal="center" vertical="center" wrapText="1"/>
      <protection locked="0"/>
    </xf>
    <xf numFmtId="1" fontId="26" fillId="9" borderId="11" xfId="0" applyNumberFormat="1" applyFont="1" applyFill="1" applyBorder="1" applyAlignment="1" applyProtection="1">
      <alignment horizontal="center" vertical="center"/>
      <protection locked="0"/>
    </xf>
    <xf numFmtId="1" fontId="26" fillId="28" borderId="65" xfId="0" applyNumberFormat="1" applyFont="1" applyFill="1" applyBorder="1" applyAlignment="1">
      <alignment horizontal="center" vertical="center"/>
    </xf>
    <xf numFmtId="1" fontId="26" fillId="28" borderId="76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23" fillId="0" borderId="0" xfId="0" applyFont="1"/>
    <xf numFmtId="167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 horizontal="center"/>
    </xf>
    <xf numFmtId="167" fontId="26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center"/>
    </xf>
    <xf numFmtId="0" fontId="109" fillId="0" borderId="0" xfId="0" applyFont="1" applyAlignment="1" applyProtection="1">
      <alignment horizontal="center" vertical="center" wrapText="1"/>
      <protection locked="0"/>
    </xf>
    <xf numFmtId="167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4" fontId="26" fillId="0" borderId="0" xfId="0" applyNumberFormat="1" applyFont="1" applyAlignment="1" applyProtection="1">
      <alignment horizontal="center" vertical="center"/>
      <protection locked="0"/>
    </xf>
    <xf numFmtId="0" fontId="1" fillId="0" borderId="104" xfId="0" applyFont="1" applyBorder="1" applyAlignment="1">
      <alignment horizontal="center"/>
    </xf>
    <xf numFmtId="0" fontId="1" fillId="0" borderId="91" xfId="0" applyFont="1" applyBorder="1" applyAlignment="1">
      <alignment horizontal="center"/>
    </xf>
    <xf numFmtId="0" fontId="26" fillId="0" borderId="104" xfId="0" applyFont="1" applyBorder="1" applyAlignment="1">
      <alignment horizontal="center"/>
    </xf>
    <xf numFmtId="0" fontId="26" fillId="0" borderId="91" xfId="0" applyFont="1" applyBorder="1" applyAlignment="1">
      <alignment horizontal="center"/>
    </xf>
    <xf numFmtId="0" fontId="26" fillId="28" borderId="104" xfId="0" applyFont="1" applyFill="1" applyBorder="1" applyAlignment="1">
      <alignment horizontal="center"/>
    </xf>
    <xf numFmtId="49" fontId="96" fillId="0" borderId="0" xfId="0" applyNumberFormat="1" applyFont="1"/>
    <xf numFmtId="43" fontId="96" fillId="0" borderId="0" xfId="1390" applyFont="1" applyProtection="1"/>
    <xf numFmtId="0" fontId="0" fillId="0" borderId="27" xfId="0" applyBorder="1"/>
    <xf numFmtId="0" fontId="0" fillId="0" borderId="49" xfId="0" applyBorder="1"/>
    <xf numFmtId="0" fontId="0" fillId="12" borderId="74" xfId="0" applyFill="1" applyBorder="1"/>
    <xf numFmtId="0" fontId="0" fillId="12" borderId="74" xfId="0" applyFill="1" applyBorder="1" applyAlignment="1">
      <alignment horizontal="right" indent="1"/>
    </xf>
    <xf numFmtId="0" fontId="0" fillId="12" borderId="71" xfId="0" applyFill="1" applyBorder="1" applyAlignment="1">
      <alignment horizontal="right" indent="1"/>
    </xf>
    <xf numFmtId="0" fontId="111" fillId="12" borderId="72" xfId="0" applyFont="1" applyFill="1" applyBorder="1" applyAlignment="1">
      <alignment horizontal="center" vertical="center" wrapText="1"/>
    </xf>
    <xf numFmtId="3" fontId="26" fillId="28" borderId="105" xfId="0" applyNumberFormat="1" applyFont="1" applyFill="1" applyBorder="1" applyAlignment="1">
      <alignment horizontal="center"/>
    </xf>
    <xf numFmtId="3" fontId="1" fillId="28" borderId="105" xfId="0" applyNumberFormat="1" applyFont="1" applyFill="1" applyBorder="1" applyAlignment="1">
      <alignment horizontal="center"/>
    </xf>
    <xf numFmtId="0" fontId="0" fillId="0" borderId="72" xfId="0" applyBorder="1" applyAlignment="1">
      <alignment horizontal="right"/>
    </xf>
    <xf numFmtId="0" fontId="1" fillId="0" borderId="107" xfId="0" applyFont="1" applyBorder="1"/>
    <xf numFmtId="3" fontId="1" fillId="28" borderId="86" xfId="0" applyNumberFormat="1" applyFont="1" applyFill="1" applyBorder="1" applyAlignment="1">
      <alignment horizontal="center"/>
    </xf>
    <xf numFmtId="0" fontId="26" fillId="0" borderId="102" xfId="0" applyFont="1" applyBorder="1"/>
    <xf numFmtId="3" fontId="26" fillId="28" borderId="86" xfId="0" applyNumberFormat="1" applyFont="1" applyFill="1" applyBorder="1" applyAlignment="1">
      <alignment horizontal="center"/>
    </xf>
    <xf numFmtId="0" fontId="0" fillId="0" borderId="106" xfId="0" applyBorder="1"/>
    <xf numFmtId="2" fontId="26" fillId="28" borderId="102" xfId="0" applyNumberFormat="1" applyFont="1" applyFill="1" applyBorder="1" applyAlignment="1">
      <alignment horizontal="center"/>
    </xf>
    <xf numFmtId="177" fontId="25" fillId="0" borderId="0" xfId="0" applyNumberFormat="1" applyFont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113" fillId="0" borderId="0" xfId="0" applyFont="1" applyAlignment="1">
      <alignment horizontal="center" wrapText="1"/>
    </xf>
    <xf numFmtId="0" fontId="25" fillId="0" borderId="0" xfId="0" applyFont="1" applyAlignment="1">
      <alignment horizontal="left" vertical="center"/>
    </xf>
    <xf numFmtId="0" fontId="96" fillId="0" borderId="0" xfId="0" applyFont="1" applyAlignment="1">
      <alignment vertical="center" wrapText="1"/>
    </xf>
    <xf numFmtId="0" fontId="96" fillId="16" borderId="0" xfId="0" applyFont="1" applyFill="1" applyAlignment="1">
      <alignment vertical="center" wrapText="1"/>
    </xf>
    <xf numFmtId="0" fontId="25" fillId="0" borderId="0" xfId="0" applyFont="1" applyAlignment="1">
      <alignment wrapText="1"/>
    </xf>
    <xf numFmtId="0" fontId="114" fillId="0" borderId="0" xfId="0" applyFont="1" applyAlignment="1">
      <alignment horizontal="center" wrapText="1"/>
    </xf>
    <xf numFmtId="0" fontId="115" fillId="0" borderId="0" xfId="0" applyFont="1" applyAlignment="1">
      <alignment horizontal="center" wrapText="1"/>
    </xf>
    <xf numFmtId="0" fontId="116" fillId="0" borderId="0" xfId="0" applyFont="1" applyAlignment="1">
      <alignment horizontal="center" vertical="center" wrapText="1"/>
    </xf>
    <xf numFmtId="0" fontId="117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 wrapText="1"/>
    </xf>
    <xf numFmtId="0" fontId="120" fillId="0" borderId="0" xfId="0" applyFont="1" applyAlignment="1">
      <alignment horizontal="center" vertical="center" wrapText="1"/>
    </xf>
    <xf numFmtId="0" fontId="121" fillId="0" borderId="0" xfId="0" applyFont="1"/>
    <xf numFmtId="0" fontId="122" fillId="0" borderId="0" xfId="0" applyFont="1" applyAlignment="1">
      <alignment horizontal="center"/>
    </xf>
    <xf numFmtId="0" fontId="123" fillId="0" borderId="0" xfId="0" applyFont="1" applyAlignment="1">
      <alignment horizontal="center" vertical="center" wrapText="1"/>
    </xf>
    <xf numFmtId="0" fontId="25" fillId="16" borderId="0" xfId="0" applyFont="1" applyFill="1" applyAlignment="1">
      <alignment horizontal="center" vertical="center" wrapText="1"/>
    </xf>
    <xf numFmtId="3" fontId="124" fillId="0" borderId="0" xfId="0" applyNumberFormat="1" applyFont="1" applyAlignment="1">
      <alignment horizontal="center" vertical="center" wrapText="1"/>
    </xf>
    <xf numFmtId="178" fontId="96" fillId="0" borderId="0" xfId="0" applyNumberFormat="1" applyFont="1" applyAlignment="1">
      <alignment vertical="center"/>
    </xf>
    <xf numFmtId="178" fontId="96" fillId="0" borderId="0" xfId="0" applyNumberFormat="1" applyFont="1"/>
    <xf numFmtId="0" fontId="124" fillId="0" borderId="0" xfId="0" applyFont="1" applyAlignment="1">
      <alignment horizontal="right" vertical="center" wrapText="1"/>
    </xf>
    <xf numFmtId="0" fontId="110" fillId="0" borderId="0" xfId="0" applyFont="1" applyAlignment="1">
      <alignment horizontal="center" vertical="center" wrapText="1"/>
    </xf>
    <xf numFmtId="0" fontId="110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top"/>
    </xf>
    <xf numFmtId="0" fontId="110" fillId="0" borderId="0" xfId="0" applyFont="1" applyAlignment="1">
      <alignment horizontal="right" vertical="center"/>
    </xf>
    <xf numFmtId="0" fontId="110" fillId="0" borderId="0" xfId="0" applyFont="1" applyAlignment="1">
      <alignment vertical="center"/>
    </xf>
    <xf numFmtId="3" fontId="125" fillId="0" borderId="0" xfId="0" applyNumberFormat="1" applyFont="1" applyAlignment="1">
      <alignment horizontal="center" vertical="center" shrinkToFit="1"/>
    </xf>
    <xf numFmtId="0" fontId="126" fillId="0" borderId="0" xfId="0" applyFont="1" applyAlignment="1">
      <alignment horizontal="right"/>
    </xf>
    <xf numFmtId="0" fontId="126" fillId="0" borderId="0" xfId="0" applyFont="1" applyAlignment="1">
      <alignment horizontal="center" vertical="center"/>
    </xf>
    <xf numFmtId="0" fontId="127" fillId="0" borderId="0" xfId="0" applyFont="1" applyAlignment="1">
      <alignment horizontal="center" vertical="center" shrinkToFit="1"/>
    </xf>
    <xf numFmtId="49" fontId="113" fillId="0" borderId="0" xfId="0" applyNumberFormat="1" applyFont="1" applyAlignment="1">
      <alignment horizontal="center" vertical="center" shrinkToFit="1"/>
    </xf>
    <xf numFmtId="2" fontId="25" fillId="0" borderId="0" xfId="0" applyNumberFormat="1" applyFont="1"/>
    <xf numFmtId="0" fontId="123" fillId="0" borderId="0" xfId="0" applyFont="1" applyAlignment="1">
      <alignment horizontal="center"/>
    </xf>
    <xf numFmtId="2" fontId="25" fillId="0" borderId="0" xfId="0" applyNumberFormat="1" applyFont="1" applyAlignment="1">
      <alignment horizontal="center" vertical="center"/>
    </xf>
    <xf numFmtId="0" fontId="127" fillId="0" borderId="0" xfId="0" applyFont="1" applyAlignment="1">
      <alignment horizontal="center" vertical="center"/>
    </xf>
    <xf numFmtId="0" fontId="128" fillId="0" borderId="0" xfId="0" applyFont="1" applyAlignment="1">
      <alignment horizontal="center" vertical="center"/>
    </xf>
    <xf numFmtId="169" fontId="25" fillId="0" borderId="0" xfId="0" applyNumberFormat="1" applyFont="1" applyAlignment="1">
      <alignment horizontal="center"/>
    </xf>
    <xf numFmtId="0" fontId="125" fillId="0" borderId="0" xfId="0" applyFont="1" applyAlignment="1">
      <alignment horizontal="center"/>
    </xf>
    <xf numFmtId="3" fontId="129" fillId="0" borderId="0" xfId="0" applyNumberFormat="1" applyFont="1" applyAlignment="1">
      <alignment horizontal="center" shrinkToFit="1"/>
    </xf>
    <xf numFmtId="3" fontId="123" fillId="0" borderId="0" xfId="0" applyNumberFormat="1" applyFont="1" applyAlignment="1">
      <alignment horizontal="center" shrinkToFit="1"/>
    </xf>
    <xf numFmtId="167" fontId="113" fillId="0" borderId="0" xfId="0" applyNumberFormat="1" applyFont="1" applyAlignment="1">
      <alignment horizontal="center" vertical="center" shrinkToFit="1"/>
    </xf>
    <xf numFmtId="0" fontId="113" fillId="0" borderId="0" xfId="0" applyFont="1" applyAlignment="1">
      <alignment horizontal="center" vertical="center" shrinkToFit="1"/>
    </xf>
    <xf numFmtId="3" fontId="25" fillId="0" borderId="0" xfId="0" applyNumberFormat="1" applyFont="1"/>
    <xf numFmtId="1" fontId="25" fillId="0" borderId="0" xfId="0" applyNumberFormat="1" applyFont="1" applyAlignment="1">
      <alignment horizontal="center" vertical="center"/>
    </xf>
    <xf numFmtId="0" fontId="129" fillId="0" borderId="0" xfId="0" applyFont="1" applyAlignment="1">
      <alignment horizontal="center"/>
    </xf>
    <xf numFmtId="175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0" fontId="130" fillId="0" borderId="0" xfId="0" applyFont="1" applyAlignment="1">
      <alignment horizontal="center" vertical="center"/>
    </xf>
    <xf numFmtId="170" fontId="113" fillId="0" borderId="0" xfId="0" applyNumberFormat="1" applyFont="1" applyAlignment="1">
      <alignment horizontal="center" vertical="center" shrinkToFit="1"/>
    </xf>
    <xf numFmtId="168" fontId="25" fillId="0" borderId="0" xfId="0" applyNumberFormat="1" applyFont="1" applyAlignment="1">
      <alignment horizontal="center" vertical="center"/>
    </xf>
    <xf numFmtId="0" fontId="129" fillId="0" borderId="0" xfId="0" applyFont="1" applyAlignment="1">
      <alignment horizontal="center" vertical="center" shrinkToFit="1"/>
    </xf>
    <xf numFmtId="4" fontId="129" fillId="0" borderId="0" xfId="0" applyNumberFormat="1" applyFont="1" applyAlignment="1">
      <alignment horizontal="center" vertical="center" shrinkToFit="1"/>
    </xf>
    <xf numFmtId="0" fontId="113" fillId="0" borderId="0" xfId="0" applyFont="1" applyAlignment="1">
      <alignment horizontal="center"/>
    </xf>
    <xf numFmtId="3" fontId="113" fillId="0" borderId="0" xfId="0" applyNumberFormat="1" applyFont="1" applyAlignment="1">
      <alignment horizontal="center"/>
    </xf>
    <xf numFmtId="1" fontId="113" fillId="0" borderId="0" xfId="0" applyNumberFormat="1" applyFont="1" applyAlignment="1">
      <alignment horizontal="center"/>
    </xf>
    <xf numFmtId="0" fontId="126" fillId="0" borderId="0" xfId="0" applyFont="1" applyAlignment="1">
      <alignment horizontal="center"/>
    </xf>
    <xf numFmtId="175" fontId="25" fillId="0" borderId="0" xfId="0" applyNumberFormat="1" applyFont="1"/>
    <xf numFmtId="15" fontId="58" fillId="0" borderId="0" xfId="0" applyNumberFormat="1" applyFont="1" applyAlignment="1">
      <alignment wrapText="1"/>
    </xf>
    <xf numFmtId="0" fontId="110" fillId="0" borderId="0" xfId="0" applyFont="1" applyAlignment="1">
      <alignment horizontal="center" vertical="center"/>
    </xf>
    <xf numFmtId="0" fontId="118" fillId="0" borderId="0" xfId="0" applyFont="1" applyAlignment="1">
      <alignment horizontal="center" vertical="center"/>
    </xf>
    <xf numFmtId="0" fontId="25" fillId="10" borderId="0" xfId="0" applyFont="1" applyFill="1" applyAlignment="1">
      <alignment horizontal="center"/>
    </xf>
    <xf numFmtId="1" fontId="110" fillId="10" borderId="0" xfId="0" applyNumberFormat="1" applyFont="1" applyFill="1" applyAlignment="1">
      <alignment horizontal="center"/>
    </xf>
    <xf numFmtId="1" fontId="110" fillId="0" borderId="0" xfId="0" applyNumberFormat="1" applyFont="1" applyAlignment="1">
      <alignment horizontal="center"/>
    </xf>
    <xf numFmtId="168" fontId="110" fillId="0" borderId="0" xfId="0" applyNumberFormat="1" applyFont="1" applyAlignment="1">
      <alignment horizontal="center"/>
    </xf>
    <xf numFmtId="0" fontId="110" fillId="0" borderId="0" xfId="0" applyFont="1" applyAlignment="1">
      <alignment horizontal="center"/>
    </xf>
    <xf numFmtId="0" fontId="110" fillId="10" borderId="0" xfId="0" applyFont="1" applyFill="1" applyAlignment="1">
      <alignment horizontal="right"/>
    </xf>
    <xf numFmtId="168" fontId="25" fillId="0" borderId="0" xfId="0" applyNumberFormat="1" applyFont="1" applyAlignment="1">
      <alignment horizontal="center"/>
    </xf>
    <xf numFmtId="168" fontId="110" fillId="10" borderId="0" xfId="0" applyNumberFormat="1" applyFont="1" applyFill="1" applyAlignment="1">
      <alignment horizontal="center"/>
    </xf>
    <xf numFmtId="168" fontId="25" fillId="0" borderId="0" xfId="0" applyNumberFormat="1" applyFont="1" applyAlignment="1">
      <alignment horizontal="left"/>
    </xf>
    <xf numFmtId="0" fontId="119" fillId="0" borderId="0" xfId="0" applyFont="1" applyAlignment="1">
      <alignment horizontal="center" vertical="center"/>
    </xf>
    <xf numFmtId="0" fontId="110" fillId="0" borderId="0" xfId="0" applyFont="1"/>
    <xf numFmtId="0" fontId="110" fillId="0" borderId="0" xfId="0" applyFont="1" applyAlignment="1">
      <alignment horizontal="right"/>
    </xf>
    <xf numFmtId="0" fontId="15" fillId="15" borderId="50" xfId="0" applyFont="1" applyFill="1" applyBorder="1" applyAlignment="1">
      <alignment horizontal="center" vertical="top" wrapText="1" shrinkToFit="1"/>
    </xf>
    <xf numFmtId="0" fontId="16" fillId="15" borderId="67" xfId="0" applyFont="1" applyFill="1" applyBorder="1" applyAlignment="1">
      <alignment horizontal="center" vertical="top" wrapText="1" shrinkToFit="1"/>
    </xf>
    <xf numFmtId="0" fontId="33" fillId="20" borderId="79" xfId="0" applyFont="1" applyFill="1" applyBorder="1" applyAlignment="1">
      <alignment horizontal="center" vertical="center" wrapText="1" shrinkToFit="1"/>
    </xf>
    <xf numFmtId="0" fontId="26" fillId="20" borderId="79" xfId="0" applyFont="1" applyFill="1" applyBorder="1" applyAlignment="1">
      <alignment horizontal="center" vertical="center" wrapText="1" shrinkToFit="1"/>
    </xf>
    <xf numFmtId="0" fontId="26" fillId="20" borderId="80" xfId="0" applyFont="1" applyFill="1" applyBorder="1" applyAlignment="1">
      <alignment horizontal="center" vertical="center" wrapText="1" shrinkToFit="1"/>
    </xf>
    <xf numFmtId="0" fontId="74" fillId="15" borderId="46" xfId="0" applyFont="1" applyFill="1" applyBorder="1" applyAlignment="1">
      <alignment horizontal="center" vertical="center" shrinkToFit="1"/>
    </xf>
    <xf numFmtId="0" fontId="75" fillId="15" borderId="33" xfId="0" applyFont="1" applyFill="1" applyBorder="1" applyAlignment="1">
      <alignment horizontal="center" vertical="center" shrinkToFit="1"/>
    </xf>
    <xf numFmtId="0" fontId="76" fillId="15" borderId="78" xfId="0" applyFont="1" applyFill="1" applyBorder="1" applyAlignment="1">
      <alignment horizontal="center" vertical="center" shrinkToFit="1"/>
    </xf>
    <xf numFmtId="0" fontId="76" fillId="15" borderId="33" xfId="0" applyFont="1" applyFill="1" applyBorder="1" applyAlignment="1">
      <alignment horizontal="center" vertical="center" shrinkToFit="1"/>
    </xf>
    <xf numFmtId="1" fontId="19" fillId="17" borderId="24" xfId="0" applyNumberFormat="1" applyFont="1" applyFill="1" applyBorder="1" applyAlignment="1">
      <alignment horizontal="center" vertical="center" shrinkToFit="1"/>
    </xf>
    <xf numFmtId="1" fontId="20" fillId="17" borderId="88" xfId="0" applyNumberFormat="1" applyFont="1" applyFill="1" applyBorder="1" applyAlignment="1">
      <alignment horizontal="center" vertical="center" shrinkToFit="1"/>
    </xf>
    <xf numFmtId="1" fontId="3" fillId="17" borderId="27" xfId="0" applyNumberFormat="1" applyFont="1" applyFill="1" applyBorder="1" applyAlignment="1">
      <alignment horizontal="center" vertical="center" shrinkToFit="1"/>
    </xf>
    <xf numFmtId="1" fontId="3" fillId="17" borderId="48" xfId="0" applyNumberFormat="1" applyFont="1" applyFill="1" applyBorder="1" applyAlignment="1">
      <alignment horizontal="center" vertical="center" shrinkToFit="1"/>
    </xf>
    <xf numFmtId="1" fontId="34" fillId="15" borderId="46" xfId="0" applyNumberFormat="1" applyFont="1" applyFill="1" applyBorder="1" applyAlignment="1">
      <alignment horizontal="right" vertical="center" indent="3" shrinkToFit="1"/>
    </xf>
    <xf numFmtId="0" fontId="81" fillId="15" borderId="68" xfId="0" applyFont="1" applyFill="1" applyBorder="1" applyAlignment="1">
      <alignment horizontal="center" vertical="center"/>
    </xf>
    <xf numFmtId="0" fontId="82" fillId="15" borderId="46" xfId="0" applyFont="1" applyFill="1" applyBorder="1" applyAlignment="1">
      <alignment horizontal="center" vertical="center"/>
    </xf>
    <xf numFmtId="3" fontId="28" fillId="6" borderId="0" xfId="0" applyNumberFormat="1" applyFont="1" applyFill="1" applyAlignment="1">
      <alignment horizontal="center" vertical="center"/>
    </xf>
    <xf numFmtId="0" fontId="28" fillId="6" borderId="48" xfId="0" applyFont="1" applyFill="1" applyBorder="1" applyAlignment="1">
      <alignment horizontal="center"/>
    </xf>
    <xf numFmtId="0" fontId="83" fillId="17" borderId="98" xfId="0" applyFont="1" applyFill="1" applyBorder="1" applyAlignment="1">
      <alignment horizontal="center" vertical="center" shrinkToFit="1"/>
    </xf>
    <xf numFmtId="0" fontId="83" fillId="17" borderId="50" xfId="0" applyFont="1" applyFill="1" applyBorder="1" applyAlignment="1">
      <alignment horizontal="center" vertical="center" shrinkToFit="1"/>
    </xf>
    <xf numFmtId="1" fontId="31" fillId="17" borderId="50" xfId="0" applyNumberFormat="1" applyFont="1" applyFill="1" applyBorder="1" applyAlignment="1">
      <alignment horizontal="right" vertical="center" indent="3" shrinkToFit="1"/>
    </xf>
    <xf numFmtId="1" fontId="32" fillId="7" borderId="79" xfId="0" applyNumberFormat="1" applyFont="1" applyFill="1" applyBorder="1" applyAlignment="1">
      <alignment horizontal="right" vertical="center" indent="3" shrinkToFit="1"/>
    </xf>
    <xf numFmtId="1" fontId="26" fillId="7" borderId="80" xfId="0" applyNumberFormat="1" applyFont="1" applyFill="1" applyBorder="1" applyAlignment="1">
      <alignment horizontal="right" vertical="center" indent="3" shrinkToFit="1"/>
    </xf>
    <xf numFmtId="0" fontId="17" fillId="17" borderId="49" xfId="0" applyFont="1" applyFill="1" applyBorder="1" applyAlignment="1">
      <alignment horizontal="center" vertical="top" wrapText="1" shrinkToFit="1"/>
    </xf>
    <xf numFmtId="0" fontId="18" fillId="17" borderId="97" xfId="0" applyFont="1" applyFill="1" applyBorder="1" applyAlignment="1">
      <alignment horizontal="center" vertical="top" wrapText="1" shrinkToFit="1"/>
    </xf>
    <xf numFmtId="1" fontId="86" fillId="12" borderId="90" xfId="0" applyNumberFormat="1" applyFont="1" applyFill="1" applyBorder="1" applyAlignment="1">
      <alignment horizontal="center" vertical="top"/>
    </xf>
    <xf numFmtId="1" fontId="86" fillId="12" borderId="91" xfId="0" applyNumberFormat="1" applyFont="1" applyFill="1" applyBorder="1" applyAlignment="1">
      <alignment horizontal="center" vertical="top"/>
    </xf>
    <xf numFmtId="0" fontId="80" fillId="12" borderId="72" xfId="0" applyFont="1" applyFill="1" applyBorder="1" applyAlignment="1">
      <alignment horizontal="center" vertical="center" wrapText="1"/>
    </xf>
    <xf numFmtId="0" fontId="0" fillId="0" borderId="65" xfId="0" applyBorder="1"/>
    <xf numFmtId="0" fontId="0" fillId="0" borderId="74" xfId="0" applyBorder="1"/>
    <xf numFmtId="0" fontId="0" fillId="0" borderId="70" xfId="0" applyBorder="1"/>
    <xf numFmtId="0" fontId="0" fillId="0" borderId="81" xfId="0" applyBorder="1"/>
    <xf numFmtId="0" fontId="0" fillId="0" borderId="61" xfId="0" applyBorder="1"/>
    <xf numFmtId="178" fontId="89" fillId="30" borderId="68" xfId="0" applyNumberFormat="1" applyFont="1" applyFill="1" applyBorder="1" applyAlignment="1">
      <alignment horizontal="center" vertical="center" shrinkToFit="1"/>
    </xf>
    <xf numFmtId="0" fontId="90" fillId="30" borderId="43" xfId="0" applyFont="1" applyFill="1" applyBorder="1" applyAlignment="1">
      <alignment shrinkToFit="1"/>
    </xf>
    <xf numFmtId="0" fontId="90" fillId="30" borderId="44" xfId="0" applyFont="1" applyFill="1" applyBorder="1" applyAlignment="1">
      <alignment shrinkToFit="1"/>
    </xf>
    <xf numFmtId="0" fontId="79" fillId="29" borderId="53" xfId="0" applyFont="1" applyFill="1" applyBorder="1" applyAlignment="1">
      <alignment horizontal="right"/>
    </xf>
    <xf numFmtId="0" fontId="0" fillId="0" borderId="53" xfId="0" applyBorder="1" applyAlignment="1">
      <alignment horizontal="right"/>
    </xf>
    <xf numFmtId="49" fontId="87" fillId="11" borderId="71" xfId="0" applyNumberFormat="1" applyFont="1" applyFill="1" applyBorder="1" applyAlignment="1">
      <alignment horizontal="right" vertical="center" indent="1"/>
    </xf>
    <xf numFmtId="49" fontId="87" fillId="11" borderId="76" xfId="0" applyNumberFormat="1" applyFont="1" applyFill="1" applyBorder="1" applyAlignment="1">
      <alignment horizontal="right" vertical="center" indent="1"/>
    </xf>
    <xf numFmtId="0" fontId="4" fillId="14" borderId="72" xfId="0" applyFont="1" applyFill="1" applyBorder="1" applyAlignment="1">
      <alignment horizontal="center" vertical="center" wrapText="1"/>
    </xf>
    <xf numFmtId="0" fontId="4" fillId="14" borderId="65" xfId="0" applyFont="1" applyFill="1" applyBorder="1" applyAlignment="1">
      <alignment horizontal="center" vertical="center" wrapText="1"/>
    </xf>
    <xf numFmtId="0" fontId="87" fillId="10" borderId="74" xfId="0" applyFont="1" applyFill="1" applyBorder="1" applyAlignment="1">
      <alignment horizontal="right" vertical="center" indent="1"/>
    </xf>
    <xf numFmtId="0" fontId="87" fillId="0" borderId="1" xfId="0" applyFont="1" applyBorder="1" applyAlignment="1">
      <alignment horizontal="right" vertical="center" indent="1"/>
    </xf>
    <xf numFmtId="0" fontId="87" fillId="9" borderId="87" xfId="0" applyFont="1" applyFill="1" applyBorder="1" applyAlignment="1">
      <alignment horizontal="right" vertical="center" indent="1"/>
    </xf>
    <xf numFmtId="0" fontId="87" fillId="9" borderId="1" xfId="0" applyFont="1" applyFill="1" applyBorder="1" applyAlignment="1">
      <alignment horizontal="right" vertical="center" indent="1"/>
    </xf>
    <xf numFmtId="0" fontId="78" fillId="12" borderId="28" xfId="0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 wrapText="1"/>
    </xf>
    <xf numFmtId="0" fontId="10" fillId="26" borderId="68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00" fillId="32" borderId="99" xfId="0" applyFont="1" applyFill="1" applyBorder="1" applyAlignment="1">
      <alignment horizontal="center" wrapText="1"/>
    </xf>
    <xf numFmtId="0" fontId="97" fillId="0" borderId="100" xfId="0" applyFont="1" applyBorder="1" applyAlignment="1">
      <alignment horizontal="center" wrapText="1"/>
    </xf>
    <xf numFmtId="0" fontId="92" fillId="6" borderId="24" xfId="0" applyFont="1" applyFill="1" applyBorder="1" applyAlignment="1">
      <alignment horizontal="right" vertical="center" wrapText="1"/>
    </xf>
    <xf numFmtId="0" fontId="92" fillId="6" borderId="46" xfId="0" applyFont="1" applyFill="1" applyBorder="1" applyAlignment="1">
      <alignment horizontal="right" vertical="center" wrapText="1"/>
    </xf>
    <xf numFmtId="0" fontId="92" fillId="6" borderId="49" xfId="0" applyFont="1" applyFill="1" applyBorder="1" applyAlignment="1">
      <alignment horizontal="right" vertical="center" wrapText="1"/>
    </xf>
    <xf numFmtId="0" fontId="92" fillId="6" borderId="50" xfId="0" applyFont="1" applyFill="1" applyBorder="1" applyAlignment="1">
      <alignment horizontal="right" vertical="center" wrapText="1"/>
    </xf>
    <xf numFmtId="3" fontId="47" fillId="21" borderId="93" xfId="0" applyNumberFormat="1" applyFont="1" applyFill="1" applyBorder="1" applyAlignment="1">
      <alignment horizontal="center" vertical="center"/>
    </xf>
    <xf numFmtId="0" fontId="47" fillId="21" borderId="94" xfId="0" applyFont="1" applyFill="1" applyBorder="1" applyAlignment="1">
      <alignment horizontal="center" vertical="center"/>
    </xf>
    <xf numFmtId="167" fontId="0" fillId="16" borderId="61" xfId="0" applyNumberFormat="1" applyFill="1" applyBorder="1" applyAlignment="1" applyProtection="1">
      <alignment horizontal="center"/>
      <protection locked="0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3" fontId="7" fillId="23" borderId="24" xfId="0" applyNumberFormat="1" applyFont="1" applyFill="1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50" xfId="0" applyBorder="1" applyAlignment="1">
      <alignment horizontal="right" vertical="center"/>
    </xf>
    <xf numFmtId="3" fontId="42" fillId="23" borderId="46" xfId="0" applyNumberFormat="1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" fontId="85" fillId="21" borderId="68" xfId="0" applyNumberFormat="1" applyFont="1" applyFill="1" applyBorder="1" applyAlignment="1">
      <alignment horizontal="center" vertical="center"/>
    </xf>
    <xf numFmtId="0" fontId="48" fillId="0" borderId="43" xfId="0" applyFont="1" applyBorder="1"/>
    <xf numFmtId="0" fontId="48" fillId="0" borderId="96" xfId="0" applyFont="1" applyBorder="1"/>
    <xf numFmtId="0" fontId="26" fillId="16" borderId="0" xfId="0" applyFont="1" applyFill="1"/>
    <xf numFmtId="0" fontId="0" fillId="12" borderId="108" xfId="0" applyFill="1" applyBorder="1" applyAlignment="1">
      <alignment horizontal="right" indent="1"/>
    </xf>
    <xf numFmtId="0" fontId="97" fillId="10" borderId="109" xfId="0" applyFont="1" applyFill="1" applyBorder="1"/>
    <xf numFmtId="168" fontId="1" fillId="28" borderId="110" xfId="0" applyNumberFormat="1" applyFont="1" applyFill="1" applyBorder="1" applyAlignment="1">
      <alignment horizontal="center" vertical="center"/>
    </xf>
    <xf numFmtId="0" fontId="0" fillId="12" borderId="81" xfId="0" applyFill="1" applyBorder="1" applyAlignment="1">
      <alignment horizontal="right" indent="1"/>
    </xf>
    <xf numFmtId="0" fontId="0" fillId="12" borderId="72" xfId="0" applyFill="1" applyBorder="1" applyAlignment="1">
      <alignment horizontal="right" indent="1"/>
    </xf>
    <xf numFmtId="0" fontId="0" fillId="35" borderId="49" xfId="0" applyFill="1" applyBorder="1"/>
    <xf numFmtId="0" fontId="0" fillId="35" borderId="50" xfId="0" applyFill="1" applyBorder="1"/>
    <xf numFmtId="0" fontId="0" fillId="35" borderId="50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6" xfId="0" applyFill="1" applyBorder="1"/>
    <xf numFmtId="0" fontId="0" fillId="35" borderId="33" xfId="0" applyFill="1" applyBorder="1"/>
    <xf numFmtId="3" fontId="5" fillId="35" borderId="33" xfId="0" applyNumberFormat="1" applyFont="1" applyFill="1" applyBorder="1" applyAlignment="1">
      <alignment horizontal="center" vertical="center" shrinkToFit="1"/>
    </xf>
    <xf numFmtId="3" fontId="8" fillId="35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33" xfId="0" applyFill="1" applyBorder="1" applyAlignment="1">
      <alignment horizontal="center"/>
    </xf>
    <xf numFmtId="0" fontId="0" fillId="35" borderId="24" xfId="0" applyFill="1" applyBorder="1"/>
    <xf numFmtId="0" fontId="0" fillId="35" borderId="46" xfId="0" applyFill="1" applyBorder="1"/>
    <xf numFmtId="0" fontId="0" fillId="35" borderId="46" xfId="0" applyFill="1" applyBorder="1" applyAlignment="1">
      <alignment horizontal="center"/>
    </xf>
    <xf numFmtId="0" fontId="0" fillId="35" borderId="27" xfId="0" applyFill="1" applyBorder="1"/>
    <xf numFmtId="0" fontId="12" fillId="35" borderId="27" xfId="0" applyFont="1" applyFill="1" applyBorder="1" applyAlignment="1">
      <alignment horizontal="center" vertical="center"/>
    </xf>
    <xf numFmtId="0" fontId="0" fillId="35" borderId="27" xfId="0" applyFill="1" applyBorder="1" applyProtection="1">
      <protection locked="0"/>
    </xf>
    <xf numFmtId="0" fontId="0" fillId="35" borderId="27" xfId="0" applyFill="1" applyBorder="1" applyAlignment="1">
      <alignment horizontal="center"/>
    </xf>
    <xf numFmtId="0" fontId="0" fillId="35" borderId="27" xfId="0" applyFill="1" applyBorder="1" applyAlignment="1">
      <alignment horizontal="center" wrapText="1"/>
    </xf>
    <xf numFmtId="0" fontId="0" fillId="35" borderId="0" xfId="0" applyFill="1" applyProtection="1">
      <protection locked="0"/>
    </xf>
  </cellXfs>
  <cellStyles count="1391">
    <cellStyle name="Comma" xfId="1390" builtinId="3"/>
    <cellStyle name="Followed Hyperlink" xfId="1249" builtinId="9" hidden="1"/>
    <cellStyle name="Followed Hyperlink" xfId="989" builtinId="9" hidden="1"/>
    <cellStyle name="Followed Hyperlink" xfId="777" builtinId="9" hidden="1"/>
    <cellStyle name="Followed Hyperlink" xfId="877" builtinId="9" hidden="1"/>
    <cellStyle name="Followed Hyperlink" xfId="1043" builtinId="9" hidden="1"/>
    <cellStyle name="Followed Hyperlink" xfId="493" builtinId="9" hidden="1"/>
    <cellStyle name="Followed Hyperlink" xfId="379" builtinId="9" hidden="1"/>
    <cellStyle name="Followed Hyperlink" xfId="403" builtinId="9" hidden="1"/>
    <cellStyle name="Followed Hyperlink" xfId="981" builtinId="9" hidden="1"/>
    <cellStyle name="Followed Hyperlink" xfId="669" builtinId="9" hidden="1"/>
    <cellStyle name="Followed Hyperlink" xfId="141" builtinId="9" hidden="1"/>
    <cellStyle name="Followed Hyperlink" xfId="1225" builtinId="9" hidden="1"/>
    <cellStyle name="Followed Hyperlink" xfId="25" builtinId="9" hidden="1"/>
    <cellStyle name="Followed Hyperlink" xfId="1061" builtinId="9" hidden="1"/>
    <cellStyle name="Followed Hyperlink" xfId="295" builtinId="9" hidden="1"/>
    <cellStyle name="Followed Hyperlink" xfId="629" builtinId="9" hidden="1"/>
    <cellStyle name="Followed Hyperlink" xfId="65" builtinId="9" hidden="1"/>
    <cellStyle name="Followed Hyperlink" xfId="1273" builtinId="9" hidden="1"/>
    <cellStyle name="Followed Hyperlink" xfId="59" builtinId="9" hidden="1"/>
    <cellStyle name="Followed Hyperlink" xfId="181" builtinId="9" hidden="1"/>
    <cellStyle name="Followed Hyperlink" xfId="301" builtinId="9" hidden="1"/>
    <cellStyle name="Followed Hyperlink" xfId="1057" builtinId="9" hidden="1"/>
    <cellStyle name="Followed Hyperlink" xfId="703" builtinId="9" hidden="1"/>
    <cellStyle name="Followed Hyperlink" xfId="487" builtinId="9" hidden="1"/>
    <cellStyle name="Followed Hyperlink" xfId="359" builtinId="9" hidden="1"/>
    <cellStyle name="Followed Hyperlink" xfId="1165" builtinId="9" hidden="1"/>
    <cellStyle name="Followed Hyperlink" xfId="541" builtinId="9" hidden="1"/>
    <cellStyle name="Followed Hyperlink" xfId="935" builtinId="9" hidden="1"/>
    <cellStyle name="Followed Hyperlink" xfId="741" builtinId="9" hidden="1"/>
    <cellStyle name="Followed Hyperlink" xfId="175" builtinId="9" hidden="1"/>
    <cellStyle name="Followed Hyperlink" xfId="375" builtinId="9" hidden="1"/>
    <cellStyle name="Followed Hyperlink" xfId="1179" builtinId="9" hidden="1"/>
    <cellStyle name="Followed Hyperlink" xfId="441" builtinId="9" hidden="1"/>
    <cellStyle name="Followed Hyperlink" xfId="923" builtinId="9" hidden="1"/>
    <cellStyle name="Followed Hyperlink" xfId="925" builtinId="9" hidden="1"/>
    <cellStyle name="Followed Hyperlink" xfId="1175" builtinId="9" hidden="1"/>
    <cellStyle name="Followed Hyperlink" xfId="1161" builtinId="9" hidden="1"/>
    <cellStyle name="Followed Hyperlink" xfId="1375" builtinId="9" hidden="1"/>
    <cellStyle name="Followed Hyperlink" xfId="285" builtinId="9" hidden="1"/>
    <cellStyle name="Followed Hyperlink" xfId="1063" builtinId="9" hidden="1"/>
    <cellStyle name="Followed Hyperlink" xfId="543" builtinId="9" hidden="1"/>
    <cellStyle name="Followed Hyperlink" xfId="185" builtinId="9" hidden="1"/>
    <cellStyle name="Followed Hyperlink" xfId="1077" builtinId="9" hidden="1"/>
    <cellStyle name="Followed Hyperlink" xfId="547" builtinId="9" hidden="1"/>
    <cellStyle name="Followed Hyperlink" xfId="1101" builtinId="9" hidden="1"/>
    <cellStyle name="Followed Hyperlink" xfId="289" builtinId="9" hidden="1"/>
    <cellStyle name="Followed Hyperlink" xfId="763" builtinId="9" hidden="1"/>
    <cellStyle name="Followed Hyperlink" xfId="735" builtinId="9" hidden="1"/>
    <cellStyle name="Followed Hyperlink" xfId="1007" builtinId="9" hidden="1"/>
    <cellStyle name="Followed Hyperlink" xfId="161" builtinId="9" hidden="1"/>
    <cellStyle name="Followed Hyperlink" xfId="651" builtinId="9" hidden="1"/>
    <cellStyle name="Followed Hyperlink" xfId="1189" builtinId="9" hidden="1"/>
    <cellStyle name="Followed Hyperlink" xfId="93" builtinId="9" hidden="1"/>
    <cellStyle name="Followed Hyperlink" xfId="1047" builtinId="9" hidden="1"/>
    <cellStyle name="Followed Hyperlink" xfId="523" builtinId="9" hidden="1"/>
    <cellStyle name="Followed Hyperlink" xfId="217" builtinId="9" hidden="1"/>
    <cellStyle name="Followed Hyperlink" xfId="37" builtinId="9" hidden="1"/>
    <cellStyle name="Followed Hyperlink" xfId="5" builtinId="9" hidden="1"/>
    <cellStyle name="Followed Hyperlink" xfId="1271" builtinId="9" hidden="1"/>
    <cellStyle name="Followed Hyperlink" xfId="419" builtinId="9" hidden="1"/>
    <cellStyle name="Followed Hyperlink" xfId="817" builtinId="9" hidden="1"/>
    <cellStyle name="Followed Hyperlink" xfId="1025" builtinId="9" hidden="1"/>
    <cellStyle name="Followed Hyperlink" xfId="71" builtinId="9" hidden="1"/>
    <cellStyle name="Followed Hyperlink" xfId="1133" builtinId="9" hidden="1"/>
    <cellStyle name="Followed Hyperlink" xfId="443" builtinId="9" hidden="1"/>
    <cellStyle name="Followed Hyperlink" xfId="1295" builtinId="9" hidden="1"/>
    <cellStyle name="Followed Hyperlink" xfId="545" builtinId="9" hidden="1"/>
    <cellStyle name="Followed Hyperlink" xfId="999" builtinId="9" hidden="1"/>
    <cellStyle name="Followed Hyperlink" xfId="959" builtinId="9" hidden="1"/>
    <cellStyle name="Followed Hyperlink" xfId="907" builtinId="9" hidden="1"/>
    <cellStyle name="Followed Hyperlink" xfId="1163" builtinId="9" hidden="1"/>
    <cellStyle name="Followed Hyperlink" xfId="1381" builtinId="9" hidden="1"/>
    <cellStyle name="Followed Hyperlink" xfId="963" builtinId="9" hidden="1"/>
    <cellStyle name="Followed Hyperlink" xfId="743" builtinId="9" hidden="1"/>
    <cellStyle name="Followed Hyperlink" xfId="793" builtinId="9" hidden="1"/>
    <cellStyle name="Followed Hyperlink" xfId="521" builtinId="9" hidden="1"/>
    <cellStyle name="Followed Hyperlink" xfId="1357" builtinId="9" hidden="1"/>
    <cellStyle name="Followed Hyperlink" xfId="159" builtinId="9" hidden="1"/>
    <cellStyle name="Followed Hyperlink" xfId="1205" builtinId="9" hidden="1"/>
    <cellStyle name="Followed Hyperlink" xfId="1027" builtinId="9" hidden="1"/>
    <cellStyle name="Followed Hyperlink" xfId="919" builtinId="9" hidden="1"/>
    <cellStyle name="Followed Hyperlink" xfId="471" builtinId="9" hidden="1"/>
    <cellStyle name="Followed Hyperlink" xfId="435" builtinId="9" hidden="1"/>
    <cellStyle name="Followed Hyperlink" xfId="1045" builtinId="9" hidden="1"/>
    <cellStyle name="Followed Hyperlink" xfId="1315" builtinId="9" hidden="1"/>
    <cellStyle name="Followed Hyperlink" xfId="961" builtinId="9" hidden="1"/>
    <cellStyle name="Followed Hyperlink" xfId="505" builtinId="9" hidden="1"/>
    <cellStyle name="Followed Hyperlink" xfId="1107" builtinId="9" hidden="1"/>
    <cellStyle name="Followed Hyperlink" xfId="705" builtinId="9" hidden="1"/>
    <cellStyle name="Followed Hyperlink" xfId="41" builtinId="9" hidden="1"/>
    <cellStyle name="Followed Hyperlink" xfId="31" builtinId="9" hidden="1"/>
    <cellStyle name="Followed Hyperlink" xfId="1011" builtinId="9" hidden="1"/>
    <cellStyle name="Followed Hyperlink" xfId="1251" builtinId="9" hidden="1"/>
    <cellStyle name="Followed Hyperlink" xfId="1283" builtinId="9" hidden="1"/>
    <cellStyle name="Followed Hyperlink" xfId="1265" builtinId="9" hidden="1"/>
    <cellStyle name="Followed Hyperlink" xfId="315" builtinId="9" hidden="1"/>
    <cellStyle name="Followed Hyperlink" xfId="661" builtinId="9" hidden="1"/>
    <cellStyle name="Followed Hyperlink" xfId="615" builtinId="9" hidden="1"/>
    <cellStyle name="Followed Hyperlink" xfId="1279" builtinId="9" hidden="1"/>
    <cellStyle name="Followed Hyperlink" xfId="1079" builtinId="9" hidden="1"/>
    <cellStyle name="Followed Hyperlink" xfId="357" builtinId="9" hidden="1"/>
    <cellStyle name="Followed Hyperlink" xfId="1135" builtinId="9" hidden="1"/>
    <cellStyle name="Followed Hyperlink" xfId="571" builtinId="9" hidden="1"/>
    <cellStyle name="Followed Hyperlink" xfId="369" builtinId="9" hidden="1"/>
    <cellStyle name="Followed Hyperlink" xfId="979" builtinId="9" hidden="1"/>
    <cellStyle name="Followed Hyperlink" xfId="613" builtinId="9" hidden="1"/>
    <cellStyle name="Followed Hyperlink" xfId="273" builtinId="9" hidden="1"/>
    <cellStyle name="Followed Hyperlink" xfId="1301" builtinId="9" hidden="1"/>
    <cellStyle name="Followed Hyperlink" xfId="853" builtinId="9" hidden="1"/>
    <cellStyle name="Followed Hyperlink" xfId="819" builtinId="9" hidden="1"/>
    <cellStyle name="Followed Hyperlink" xfId="1065" builtinId="9" hidden="1"/>
    <cellStyle name="Followed Hyperlink" xfId="259" builtinId="9" hidden="1"/>
    <cellStyle name="Followed Hyperlink" xfId="739" builtinId="9" hidden="1"/>
    <cellStyle name="Followed Hyperlink" xfId="189" builtinId="9" hidden="1"/>
    <cellStyle name="Followed Hyperlink" xfId="717" builtinId="9" hidden="1"/>
    <cellStyle name="Followed Hyperlink" xfId="265" builtinId="9" hidden="1"/>
    <cellStyle name="Followed Hyperlink" xfId="1201" builtinId="9" hidden="1"/>
    <cellStyle name="Followed Hyperlink" xfId="171" builtinId="9" hidden="1"/>
    <cellStyle name="Followed Hyperlink" xfId="299" builtinId="9" hidden="1"/>
    <cellStyle name="Followed Hyperlink" xfId="131" builtinId="9" hidden="1"/>
    <cellStyle name="Followed Hyperlink" xfId="883" builtinId="9" hidden="1"/>
    <cellStyle name="Followed Hyperlink" xfId="9" builtinId="9" hidden="1"/>
    <cellStyle name="Followed Hyperlink" xfId="43" builtinId="9" hidden="1"/>
    <cellStyle name="Followed Hyperlink" xfId="1329" builtinId="9" hidden="1"/>
    <cellStyle name="Followed Hyperlink" xfId="169" builtinId="9" hidden="1"/>
    <cellStyle name="Followed Hyperlink" xfId="1267" builtinId="9" hidden="1"/>
    <cellStyle name="Followed Hyperlink" xfId="1021" builtinId="9" hidden="1"/>
    <cellStyle name="Followed Hyperlink" xfId="1083" builtinId="9" hidden="1"/>
    <cellStyle name="Followed Hyperlink" xfId="223" builtinId="9" hidden="1"/>
    <cellStyle name="Followed Hyperlink" xfId="1031" builtinId="9" hidden="1"/>
    <cellStyle name="Followed Hyperlink" xfId="1219" builtinId="9" hidden="1"/>
    <cellStyle name="Followed Hyperlink" xfId="491" builtinId="9" hidden="1"/>
    <cellStyle name="Followed Hyperlink" xfId="759" builtinId="9" hidden="1"/>
    <cellStyle name="Followed Hyperlink" xfId="969" builtinId="9" hidden="1"/>
    <cellStyle name="Followed Hyperlink" xfId="849" builtinId="9" hidden="1"/>
    <cellStyle name="Followed Hyperlink" xfId="1389" builtinId="9" hidden="1"/>
    <cellStyle name="Followed Hyperlink" xfId="939" builtinId="9" hidden="1"/>
    <cellStyle name="Followed Hyperlink" xfId="575" builtinId="9" hidden="1"/>
    <cellStyle name="Followed Hyperlink" xfId="127" builtinId="9" hidden="1"/>
    <cellStyle name="Followed Hyperlink" xfId="347" builtinId="9" hidden="1"/>
    <cellStyle name="Followed Hyperlink" xfId="453" builtinId="9" hidden="1"/>
    <cellStyle name="Followed Hyperlink" xfId="1311" builtinId="9" hidden="1"/>
    <cellStyle name="Followed Hyperlink" xfId="1121" builtinId="9" hidden="1"/>
    <cellStyle name="Followed Hyperlink" xfId="353" builtinId="9" hidden="1"/>
    <cellStyle name="Followed Hyperlink" xfId="177" builtinId="9" hidden="1"/>
    <cellStyle name="Followed Hyperlink" xfId="79" builtinId="9" hidden="1"/>
    <cellStyle name="Followed Hyperlink" xfId="123" builtinId="9" hidden="1"/>
    <cellStyle name="Followed Hyperlink" xfId="165" builtinId="9" hidden="1"/>
    <cellStyle name="Followed Hyperlink" xfId="151" builtinId="9" hidden="1"/>
    <cellStyle name="Followed Hyperlink" xfId="873" builtinId="9" hidden="1"/>
    <cellStyle name="Followed Hyperlink" xfId="659" builtinId="9" hidden="1"/>
    <cellStyle name="Followed Hyperlink" xfId="385" builtinId="9" hidden="1"/>
    <cellStyle name="Followed Hyperlink" xfId="859" builtinId="9" hidden="1"/>
    <cellStyle name="Followed Hyperlink" xfId="415" builtinId="9" hidden="1"/>
    <cellStyle name="Followed Hyperlink" xfId="463" builtinId="9" hidden="1"/>
    <cellStyle name="Followed Hyperlink" xfId="367" builtinId="9" hidden="1"/>
    <cellStyle name="Followed Hyperlink" xfId="1247" builtinId="9" hidden="1"/>
    <cellStyle name="Followed Hyperlink" xfId="1141" builtinId="9" hidden="1"/>
    <cellStyle name="Followed Hyperlink" xfId="573" builtinId="9" hidden="1"/>
    <cellStyle name="Followed Hyperlink" xfId="795" builtinId="9" hidden="1"/>
    <cellStyle name="Followed Hyperlink" xfId="584" builtinId="9" hidden="1"/>
    <cellStyle name="Followed Hyperlink" xfId="809" builtinId="9" hidden="1"/>
    <cellStyle name="Followed Hyperlink" xfId="1347" builtinId="9" hidden="1"/>
    <cellStyle name="Followed Hyperlink" xfId="1013" builtinId="9" hidden="1"/>
    <cellStyle name="Followed Hyperlink" xfId="1119" builtinId="9" hidden="1"/>
    <cellStyle name="Followed Hyperlink" xfId="377" builtinId="9" hidden="1"/>
    <cellStyle name="Followed Hyperlink" xfId="1353" builtinId="9" hidden="1"/>
    <cellStyle name="Followed Hyperlink" xfId="1087" builtinId="9" hidden="1"/>
    <cellStyle name="Followed Hyperlink" xfId="361" builtinId="9" hidden="1"/>
    <cellStyle name="Followed Hyperlink" xfId="607" builtinId="9" hidden="1"/>
    <cellStyle name="Followed Hyperlink" xfId="621" builtinId="9" hidden="1"/>
    <cellStyle name="Followed Hyperlink" xfId="1235" builtinId="9" hidden="1"/>
    <cellStyle name="Followed Hyperlink" xfId="590" builtinId="9" hidden="1"/>
    <cellStyle name="Followed Hyperlink" xfId="1317" builtinId="9" hidden="1"/>
    <cellStyle name="Followed Hyperlink" xfId="323" builtinId="9" hidden="1"/>
    <cellStyle name="Followed Hyperlink" xfId="255" builtinId="9" hidden="1"/>
    <cellStyle name="Followed Hyperlink" xfId="275" builtinId="9" hidden="1"/>
    <cellStyle name="Followed Hyperlink" xfId="871" builtinId="9" hidden="1"/>
    <cellStyle name="Followed Hyperlink" xfId="509" builtinId="9" hidden="1"/>
    <cellStyle name="Followed Hyperlink" xfId="447" builtinId="9" hidden="1"/>
    <cellStyle name="Followed Hyperlink" xfId="11" builtinId="9" hidden="1"/>
    <cellStyle name="Followed Hyperlink" xfId="339" builtinId="9" hidden="1"/>
    <cellStyle name="Followed Hyperlink" xfId="203" builtinId="9" hidden="1"/>
    <cellStyle name="Followed Hyperlink" xfId="227" builtinId="9" hidden="1"/>
    <cellStyle name="Followed Hyperlink" xfId="535" builtinId="9" hidden="1"/>
    <cellStyle name="Followed Hyperlink" xfId="909" builtinId="9" hidden="1"/>
    <cellStyle name="Followed Hyperlink" xfId="611" builtinId="9" hidden="1"/>
    <cellStyle name="Followed Hyperlink" xfId="253" builtinId="9" hidden="1"/>
    <cellStyle name="Followed Hyperlink" xfId="145" builtinId="9" hidden="1"/>
    <cellStyle name="Followed Hyperlink" xfId="947" builtinId="9" hidden="1"/>
    <cellStyle name="Followed Hyperlink" xfId="715" builtinId="9" hidden="1"/>
    <cellStyle name="Followed Hyperlink" xfId="473" builtinId="9" hidden="1"/>
    <cellStyle name="Followed Hyperlink" xfId="837" builtinId="9" hidden="1"/>
    <cellStyle name="Followed Hyperlink" xfId="305" builtinId="9" hidden="1"/>
    <cellStyle name="Followed Hyperlink" xfId="761" builtinId="9" hidden="1"/>
    <cellStyle name="Followed Hyperlink" xfId="755" builtinId="9" hidden="1"/>
    <cellStyle name="Followed Hyperlink" xfId="409" builtinId="9" hidden="1"/>
    <cellStyle name="Followed Hyperlink" xfId="843" builtinId="9" hidden="1"/>
    <cellStyle name="Followed Hyperlink" xfId="903" builtinId="9" hidden="1"/>
    <cellStyle name="Followed Hyperlink" xfId="893" builtinId="9" hidden="1"/>
    <cellStyle name="Followed Hyperlink" xfId="1113" builtinId="9" hidden="1"/>
    <cellStyle name="Followed Hyperlink" xfId="1187" builtinId="9" hidden="1"/>
    <cellStyle name="Followed Hyperlink" xfId="1085" builtinId="9" hidden="1"/>
    <cellStyle name="Followed Hyperlink" xfId="779" builtinId="9" hidden="1"/>
    <cellStyle name="Followed Hyperlink" xfId="1153" builtinId="9" hidden="1"/>
    <cellStyle name="Followed Hyperlink" xfId="1361" builtinId="9" hidden="1"/>
    <cellStyle name="Followed Hyperlink" xfId="1343" builtinId="9" hidden="1"/>
    <cellStyle name="Followed Hyperlink" xfId="1363" builtinId="9" hidden="1"/>
    <cellStyle name="Followed Hyperlink" xfId="687" builtinId="9" hidden="1"/>
    <cellStyle name="Followed Hyperlink" xfId="1075" builtinId="9" hidden="1"/>
    <cellStyle name="Followed Hyperlink" xfId="197" builtinId="9" hidden="1"/>
    <cellStyle name="Followed Hyperlink" xfId="1129" builtinId="9" hidden="1"/>
    <cellStyle name="Followed Hyperlink" xfId="917" builtinId="9" hidden="1"/>
    <cellStyle name="Followed Hyperlink" xfId="187" builtinId="9" hidden="1"/>
    <cellStyle name="Followed Hyperlink" xfId="511" builtinId="9" hidden="1"/>
    <cellStyle name="Followed Hyperlink" xfId="805" builtinId="9" hidden="1"/>
    <cellStyle name="Followed Hyperlink" xfId="833" builtinId="9" hidden="1"/>
    <cellStyle name="Followed Hyperlink" xfId="1" builtinId="9" hidden="1"/>
    <cellStyle name="Followed Hyperlink" xfId="1071" builtinId="9" hidden="1"/>
    <cellStyle name="Followed Hyperlink" xfId="207" builtinId="9" hidden="1"/>
    <cellStyle name="Followed Hyperlink" xfId="941" builtinId="9" hidden="1"/>
    <cellStyle name="Followed Hyperlink" xfId="87" builtinId="9" hidden="1"/>
    <cellStyle name="Followed Hyperlink" xfId="1351" builtinId="9" hidden="1"/>
    <cellStyle name="Followed Hyperlink" xfId="597" builtinId="9" hidden="1"/>
    <cellStyle name="Followed Hyperlink" xfId="1173" builtinId="9" hidden="1"/>
    <cellStyle name="Followed Hyperlink" xfId="1053" builtinId="9" hidden="1"/>
    <cellStyle name="Followed Hyperlink" xfId="577" builtinId="9" hidden="1"/>
    <cellStyle name="Followed Hyperlink" xfId="251" builtinId="9" hidden="1"/>
    <cellStyle name="Followed Hyperlink" xfId="135" builtinId="9" hidden="1"/>
    <cellStyle name="Followed Hyperlink" xfId="1111" builtinId="9" hidden="1"/>
    <cellStyle name="Followed Hyperlink" xfId="745" builtinId="9" hidden="1"/>
    <cellStyle name="Followed Hyperlink" xfId="85" builtinId="9" hidden="1"/>
    <cellStyle name="Followed Hyperlink" xfId="757" builtinId="9" hidden="1"/>
    <cellStyle name="Followed Hyperlink" xfId="503" builtinId="9" hidden="1"/>
    <cellStyle name="Followed Hyperlink" xfId="831" builtinId="9" hidden="1"/>
    <cellStyle name="Followed Hyperlink" xfId="737" builtinId="9" hidden="1"/>
    <cellStyle name="Followed Hyperlink" xfId="401" builtinId="9" hidden="1"/>
    <cellStyle name="Followed Hyperlink" xfId="851" builtinId="9" hidden="1"/>
    <cellStyle name="Followed Hyperlink" xfId="309" builtinId="9" hidden="1"/>
    <cellStyle name="Followed Hyperlink" xfId="633" builtinId="9" hidden="1"/>
    <cellStyle name="Followed Hyperlink" xfId="1137" builtinId="9" hidden="1"/>
    <cellStyle name="Followed Hyperlink" xfId="875" builtinId="9" hidden="1"/>
    <cellStyle name="Followed Hyperlink" xfId="1241" builtinId="9" hidden="1"/>
    <cellStyle name="Followed Hyperlink" xfId="321" builtinId="9" hidden="1"/>
    <cellStyle name="Followed Hyperlink" xfId="713" builtinId="9" hidden="1"/>
    <cellStyle name="Followed Hyperlink" xfId="933" builtinId="9" hidden="1"/>
    <cellStyle name="Followed Hyperlink" xfId="133" builtinId="9" hidden="1"/>
    <cellStyle name="Followed Hyperlink" xfId="1335" builtinId="9" hidden="1"/>
    <cellStyle name="Followed Hyperlink" xfId="399" builtinId="9" hidden="1"/>
    <cellStyle name="Followed Hyperlink" xfId="1169" builtinId="9" hidden="1"/>
    <cellStyle name="Followed Hyperlink" xfId="915" builtinId="9" hidden="1"/>
    <cellStyle name="Followed Hyperlink" xfId="567" builtinId="9" hidden="1"/>
    <cellStyle name="Followed Hyperlink" xfId="1257" builtinId="9" hidden="1"/>
    <cellStyle name="Followed Hyperlink" xfId="1253" builtinId="9" hidden="1"/>
    <cellStyle name="Followed Hyperlink" xfId="559" builtinId="9" hidden="1"/>
    <cellStyle name="Followed Hyperlink" xfId="645" builtinId="9" hidden="1"/>
    <cellStyle name="Followed Hyperlink" xfId="637" builtinId="9" hidden="1"/>
    <cellStyle name="Followed Hyperlink" xfId="363" builtinId="9" hidden="1"/>
    <cellStyle name="Followed Hyperlink" xfId="449" builtinId="9" hidden="1"/>
    <cellStyle name="Followed Hyperlink" xfId="1127" builtinId="9" hidden="1"/>
    <cellStyle name="Followed Hyperlink" xfId="821" builtinId="9" hidden="1"/>
    <cellStyle name="Followed Hyperlink" xfId="1349" builtinId="9" hidden="1"/>
    <cellStyle name="Followed Hyperlink" xfId="857" builtinId="9" hidden="1"/>
    <cellStyle name="Followed Hyperlink" xfId="91" builtinId="9" hidden="1"/>
    <cellStyle name="Followed Hyperlink" xfId="931" builtinId="9" hidden="1"/>
    <cellStyle name="Followed Hyperlink" xfId="149" builtinId="9" hidden="1"/>
    <cellStyle name="Followed Hyperlink" xfId="67" builtinId="9" hidden="1"/>
    <cellStyle name="Followed Hyperlink" xfId="643" builtinId="9" hidden="1"/>
    <cellStyle name="Followed Hyperlink" xfId="1261" builtinId="9" hidden="1"/>
    <cellStyle name="Followed Hyperlink" xfId="937" builtinId="9" hidden="1"/>
    <cellStyle name="Followed Hyperlink" xfId="405" builtinId="9" hidden="1"/>
    <cellStyle name="Followed Hyperlink" xfId="1143" builtinId="9" hidden="1"/>
    <cellStyle name="Followed Hyperlink" xfId="1023" builtinId="9" hidden="1"/>
    <cellStyle name="Followed Hyperlink" xfId="17" builtinId="9" hidden="1"/>
    <cellStyle name="Followed Hyperlink" xfId="191" builtinId="9" hidden="1"/>
    <cellStyle name="Followed Hyperlink" xfId="997" builtinId="9" hidden="1"/>
    <cellStyle name="Followed Hyperlink" xfId="905" builtinId="9" hidden="1"/>
    <cellStyle name="Followed Hyperlink" xfId="77" builtinId="9" hidden="1"/>
    <cellStyle name="Followed Hyperlink" xfId="1093" builtinId="9" hidden="1"/>
    <cellStyle name="Followed Hyperlink" xfId="381" builtinId="9" hidden="1"/>
    <cellStyle name="Followed Hyperlink" xfId="677" builtinId="9" hidden="1"/>
    <cellStyle name="Followed Hyperlink" xfId="219" builtinId="9" hidden="1"/>
    <cellStyle name="Followed Hyperlink" xfId="129" builtinId="9" hidden="1"/>
    <cellStyle name="Followed Hyperlink" xfId="1299" builtinId="9" hidden="1"/>
    <cellStyle name="Followed Hyperlink" xfId="1097" builtinId="9" hidden="1"/>
    <cellStyle name="Followed Hyperlink" xfId="827" builtinId="9" hidden="1"/>
    <cellStyle name="Followed Hyperlink" xfId="1305" builtinId="9" hidden="1"/>
    <cellStyle name="Followed Hyperlink" xfId="689" builtinId="9" hidden="1"/>
    <cellStyle name="Followed Hyperlink" xfId="239" builtinId="9" hidden="1"/>
    <cellStyle name="Followed Hyperlink" xfId="879" builtinId="9" hidden="1"/>
    <cellStyle name="Followed Hyperlink" xfId="389" builtinId="9" hidden="1"/>
    <cellStyle name="Followed Hyperlink" xfId="839" builtinId="9" hidden="1"/>
    <cellStyle name="Followed Hyperlink" xfId="303" builtinId="9" hidden="1"/>
    <cellStyle name="Followed Hyperlink" xfId="225" builtinId="9" hidden="1"/>
    <cellStyle name="Followed Hyperlink" xfId="921" builtinId="9" hidden="1"/>
    <cellStyle name="Followed Hyperlink" xfId="1313" builtinId="9" hidden="1"/>
    <cellStyle name="Followed Hyperlink" xfId="153" builtinId="9" hidden="1"/>
    <cellStyle name="Followed Hyperlink" xfId="1059" builtinId="9" hidden="1"/>
    <cellStyle name="Followed Hyperlink" xfId="1145" builtinId="9" hidden="1"/>
    <cellStyle name="Followed Hyperlink" xfId="563" builtinId="9" hidden="1"/>
    <cellStyle name="Followed Hyperlink" xfId="247" builtinId="9" hidden="1"/>
    <cellStyle name="Followed Hyperlink" xfId="1105" builtinId="9" hidden="1"/>
    <cellStyle name="Followed Hyperlink" xfId="167" builtinId="9" hidden="1"/>
    <cellStyle name="Followed Hyperlink" xfId="557" builtinId="9" hidden="1"/>
    <cellStyle name="Followed Hyperlink" xfId="953" builtinId="9" hidden="1"/>
    <cellStyle name="Followed Hyperlink" xfId="455" builtinId="9" hidden="1"/>
    <cellStyle name="Followed Hyperlink" xfId="229" builtinId="9" hidden="1"/>
    <cellStyle name="Followed Hyperlink" xfId="257" builtinId="9" hidden="1"/>
    <cellStyle name="Followed Hyperlink" xfId="451" builtinId="9" hidden="1"/>
    <cellStyle name="Followed Hyperlink" xfId="709" builtinId="9" hidden="1"/>
    <cellStyle name="Followed Hyperlink" xfId="287" builtinId="9" hidden="1"/>
    <cellStyle name="Followed Hyperlink" xfId="1183" builtinId="9" hidden="1"/>
    <cellStyle name="Followed Hyperlink" xfId="619" builtinId="9" hidden="1"/>
    <cellStyle name="Followed Hyperlink" xfId="139" builtinId="9" hidden="1"/>
    <cellStyle name="Followed Hyperlink" xfId="345" builtinId="9" hidden="1"/>
    <cellStyle name="Followed Hyperlink" xfId="501" builtinId="9" hidden="1"/>
    <cellStyle name="Followed Hyperlink" xfId="281" builtinId="9" hidden="1"/>
    <cellStyle name="Followed Hyperlink" xfId="605" builtinId="9" hidden="1"/>
    <cellStyle name="Followed Hyperlink" xfId="269" builtinId="9" hidden="1"/>
    <cellStyle name="Followed Hyperlink" xfId="825" builtinId="9" hidden="1"/>
    <cellStyle name="Followed Hyperlink" xfId="927" builtinId="9" hidden="1"/>
    <cellStyle name="Followed Hyperlink" xfId="115" builtinId="9" hidden="1"/>
    <cellStyle name="Followed Hyperlink" xfId="599" builtinId="9" hidden="1"/>
    <cellStyle name="Followed Hyperlink" xfId="283" builtinId="9" hidden="1"/>
    <cellStyle name="Followed Hyperlink" xfId="387" builtinId="9" hidden="1"/>
    <cellStyle name="Followed Hyperlink" xfId="1367" builtinId="9" hidden="1"/>
    <cellStyle name="Followed Hyperlink" xfId="221" builtinId="9" hidden="1"/>
    <cellStyle name="Followed Hyperlink" xfId="231" builtinId="9" hidden="1"/>
    <cellStyle name="Followed Hyperlink" xfId="475" builtinId="9" hidden="1"/>
    <cellStyle name="Followed Hyperlink" xfId="797" builtinId="9" hidden="1"/>
    <cellStyle name="Followed Hyperlink" xfId="1155" builtinId="9" hidden="1"/>
    <cellStyle name="Followed Hyperlink" xfId="1041" builtinId="9" hidden="1"/>
    <cellStyle name="Followed Hyperlink" xfId="49" builtinId="9" hidden="1"/>
    <cellStyle name="Followed Hyperlink" xfId="977" builtinId="9" hidden="1"/>
    <cellStyle name="Followed Hyperlink" xfId="1269" builtinId="9" hidden="1"/>
    <cellStyle name="Followed Hyperlink" xfId="1239" builtinId="9" hidden="1"/>
    <cellStyle name="Followed Hyperlink" xfId="12" builtinId="9" hidden="1"/>
    <cellStyle name="Followed Hyperlink" xfId="749" builtinId="9" hidden="1"/>
    <cellStyle name="Followed Hyperlink" xfId="829" builtinId="9" hidden="1"/>
    <cellStyle name="Followed Hyperlink" xfId="865" builtinId="9" hidden="1"/>
    <cellStyle name="Followed Hyperlink" xfId="1199" builtinId="9" hidden="1"/>
    <cellStyle name="Followed Hyperlink" xfId="333" builtinId="9" hidden="1"/>
    <cellStyle name="Followed Hyperlink" xfId="685" builtinId="9" hidden="1"/>
    <cellStyle name="Followed Hyperlink" xfId="1125" builtinId="9" hidden="1"/>
    <cellStyle name="Followed Hyperlink" xfId="693" builtinId="9" hidden="1"/>
    <cellStyle name="Followed Hyperlink" xfId="867" builtinId="9" hidden="1"/>
    <cellStyle name="Followed Hyperlink" xfId="125" builtinId="9" hidden="1"/>
    <cellStyle name="Followed Hyperlink" xfId="1055" builtinId="9" hidden="1"/>
    <cellStyle name="Followed Hyperlink" xfId="479" builtinId="9" hidden="1"/>
    <cellStyle name="Followed Hyperlink" xfId="47" builtinId="9" hidden="1"/>
    <cellStyle name="Followed Hyperlink" xfId="1359" builtinId="9" hidden="1"/>
    <cellStyle name="Followed Hyperlink" xfId="121" builtinId="9" hidden="1"/>
    <cellStyle name="Followed Hyperlink" xfId="1159" builtinId="9" hidden="1"/>
    <cellStyle name="Followed Hyperlink" xfId="1255" builtinId="9" hidden="1"/>
    <cellStyle name="Followed Hyperlink" xfId="507" builtinId="9" hidden="1"/>
    <cellStyle name="Followed Hyperlink" xfId="1377" builtinId="9" hidden="1"/>
    <cellStyle name="Followed Hyperlink" xfId="429" builtinId="9" hidden="1"/>
    <cellStyle name="Followed Hyperlink" xfId="667" builtinId="9" hidden="1"/>
    <cellStyle name="Followed Hyperlink" xfId="671" builtinId="9" hidden="1"/>
    <cellStyle name="Followed Hyperlink" xfId="631" builtinId="9" hidden="1"/>
    <cellStyle name="Followed Hyperlink" xfId="1215" builtinId="9" hidden="1"/>
    <cellStyle name="Followed Hyperlink" xfId="1325" builtinId="9" hidden="1"/>
    <cellStyle name="Followed Hyperlink" xfId="553" builtinId="9" hidden="1"/>
    <cellStyle name="Followed Hyperlink" xfId="1009" builtinId="9" hidden="1"/>
    <cellStyle name="Followed Hyperlink" xfId="311" builtinId="9" hidden="1"/>
    <cellStyle name="Followed Hyperlink" xfId="1321" builtinId="9" hidden="1"/>
    <cellStyle name="Followed Hyperlink" xfId="578" builtinId="9" hidden="1"/>
    <cellStyle name="Followed Hyperlink" xfId="582" builtinId="9" hidden="1"/>
    <cellStyle name="Followed Hyperlink" xfId="179" builtinId="9" hidden="1"/>
    <cellStyle name="Followed Hyperlink" xfId="967" builtinId="9" hidden="1"/>
    <cellStyle name="Followed Hyperlink" xfId="1035" builtinId="9" hidden="1"/>
    <cellStyle name="Followed Hyperlink" xfId="899" builtinId="9" hidden="1"/>
    <cellStyle name="Followed Hyperlink" xfId="373" builtinId="9" hidden="1"/>
    <cellStyle name="Followed Hyperlink" xfId="477" builtinId="9" hidden="1"/>
    <cellStyle name="Followed Hyperlink" xfId="588" builtinId="9" hidden="1"/>
    <cellStyle name="Followed Hyperlink" xfId="371" builtinId="9" hidden="1"/>
    <cellStyle name="Followed Hyperlink" xfId="1029" builtinId="9" hidden="1"/>
    <cellStyle name="Followed Hyperlink" xfId="101" builtinId="9" hidden="1"/>
    <cellStyle name="Followed Hyperlink" xfId="679" builtinId="9" hidden="1"/>
    <cellStyle name="Followed Hyperlink" xfId="733" builtinId="9" hidden="1"/>
    <cellStyle name="Followed Hyperlink" xfId="1245" builtinId="9" hidden="1"/>
    <cellStyle name="Followed Hyperlink" xfId="103" builtinId="9" hidden="1"/>
    <cellStyle name="Followed Hyperlink" xfId="1243" builtinId="9" hidden="1"/>
    <cellStyle name="Followed Hyperlink" xfId="327" builtinId="9" hidden="1"/>
    <cellStyle name="Followed Hyperlink" xfId="845" builtinId="9" hidden="1"/>
    <cellStyle name="Followed Hyperlink" xfId="965" builtinId="9" hidden="1"/>
    <cellStyle name="Followed Hyperlink" xfId="943" builtinId="9" hidden="1"/>
    <cellStyle name="Followed Hyperlink" xfId="1185" builtinId="9" hidden="1"/>
    <cellStyle name="Followed Hyperlink" xfId="355" builtinId="9" hidden="1"/>
    <cellStyle name="Followed Hyperlink" xfId="881" builtinId="9" hidden="1"/>
    <cellStyle name="Followed Hyperlink" xfId="1373" builtinId="9" hidden="1"/>
    <cellStyle name="Followed Hyperlink" xfId="395" builtinId="9" hidden="1"/>
    <cellStyle name="Followed Hyperlink" xfId="213" builtinId="9" hidden="1"/>
    <cellStyle name="Followed Hyperlink" xfId="681" builtinId="9" hidden="1"/>
    <cellStyle name="Followed Hyperlink" xfId="1181" builtinId="9" hidden="1"/>
    <cellStyle name="Followed Hyperlink" xfId="653" builtinId="9" hidden="1"/>
    <cellStyle name="Followed Hyperlink" xfId="183" builtinId="9" hidden="1"/>
    <cellStyle name="Followed Hyperlink" xfId="1171" builtinId="9" hidden="1"/>
    <cellStyle name="Followed Hyperlink" xfId="711" builtinId="9" hidden="1"/>
    <cellStyle name="Followed Hyperlink" xfId="391" builtinId="9" hidden="1"/>
    <cellStyle name="Followed Hyperlink" xfId="45" builtinId="9" hidden="1"/>
    <cellStyle name="Followed Hyperlink" xfId="1139" builtinId="9" hidden="1"/>
    <cellStyle name="Followed Hyperlink" xfId="195" builtinId="9" hidden="1"/>
    <cellStyle name="Followed Hyperlink" xfId="519" builtinId="9" hidden="1"/>
    <cellStyle name="Followed Hyperlink" xfId="655" builtinId="9" hidden="1"/>
    <cellStyle name="Followed Hyperlink" xfId="691" builtinId="9" hidden="1"/>
    <cellStyle name="Followed Hyperlink" xfId="1095" builtinId="9" hidden="1"/>
    <cellStyle name="Followed Hyperlink" xfId="751" builtinId="9" hidden="1"/>
    <cellStyle name="Followed Hyperlink" xfId="199" builtinId="9" hidden="1"/>
    <cellStyle name="Followed Hyperlink" xfId="365" builtinId="9" hidden="1"/>
    <cellStyle name="Followed Hyperlink" xfId="789" builtinId="9" hidden="1"/>
    <cellStyle name="Followed Hyperlink" xfId="1275" builtinId="9" hidden="1"/>
    <cellStyle name="Followed Hyperlink" xfId="983" builtinId="9" hidden="1"/>
    <cellStyle name="Followed Hyperlink" xfId="769" builtinId="9" hidden="1"/>
    <cellStyle name="Followed Hyperlink" xfId="437" builtinId="9" hidden="1"/>
    <cellStyle name="Followed Hyperlink" xfId="811" builtinId="9" hidden="1"/>
    <cellStyle name="Followed Hyperlink" xfId="53" builtinId="9" hidden="1"/>
    <cellStyle name="Followed Hyperlink" xfId="457" builtinId="9" hidden="1"/>
    <cellStyle name="Followed Hyperlink" xfId="1069" builtinId="9" hidden="1"/>
    <cellStyle name="Followed Hyperlink" xfId="329" builtinId="9" hidden="1"/>
    <cellStyle name="Followed Hyperlink" xfId="243" builtinId="9" hidden="1"/>
    <cellStyle name="Followed Hyperlink" xfId="901" builtinId="9" hidden="1"/>
    <cellStyle name="Followed Hyperlink" xfId="23" builtinId="9" hidden="1"/>
    <cellStyle name="Followed Hyperlink" xfId="341" builtinId="9" hidden="1"/>
    <cellStyle name="Followed Hyperlink" xfId="393" builtinId="9" hidden="1"/>
    <cellStyle name="Followed Hyperlink" xfId="249" builtinId="9" hidden="1"/>
    <cellStyle name="Followed Hyperlink" xfId="707" builtinId="9" hidden="1"/>
    <cellStyle name="Followed Hyperlink" xfId="397" builtinId="9" hidden="1"/>
    <cellStyle name="Followed Hyperlink" xfId="781" builtinId="9" hidden="1"/>
    <cellStyle name="Followed Hyperlink" xfId="647" builtinId="9" hidden="1"/>
    <cellStyle name="Followed Hyperlink" xfId="1203" builtinId="9" hidden="1"/>
    <cellStyle name="Followed Hyperlink" xfId="1309" builtinId="9" hidden="1"/>
    <cellStyle name="Followed Hyperlink" xfId="897" builtinId="9" hidden="1"/>
    <cellStyle name="Followed Hyperlink" xfId="1193" builtinId="9" hidden="1"/>
    <cellStyle name="Followed Hyperlink" xfId="1281" builtinId="9" hidden="1"/>
    <cellStyle name="Followed Hyperlink" xfId="539" builtinId="9" hidden="1"/>
    <cellStyle name="Followed Hyperlink" xfId="1319" builtinId="9" hidden="1"/>
    <cellStyle name="Followed Hyperlink" xfId="319" builtinId="9" hidden="1"/>
    <cellStyle name="Followed Hyperlink" xfId="721" builtinId="9" hidden="1"/>
    <cellStyle name="Followed Hyperlink" xfId="665" builtinId="9" hidden="1"/>
    <cellStyle name="Followed Hyperlink" xfId="1211" builtinId="9" hidden="1"/>
    <cellStyle name="Followed Hyperlink" xfId="1285" builtinId="9" hidden="1"/>
    <cellStyle name="Followed Hyperlink" xfId="592" builtinId="9" hidden="1"/>
    <cellStyle name="Followed Hyperlink" xfId="147" builtinId="9" hidden="1"/>
    <cellStyle name="Followed Hyperlink" xfId="1195" builtinId="9" hidden="1"/>
    <cellStyle name="Followed Hyperlink" xfId="63" builtinId="9" hidden="1"/>
    <cellStyle name="Followed Hyperlink" xfId="991" builtinId="9" hidden="1"/>
    <cellStyle name="Followed Hyperlink" xfId="1303" builtinId="9" hidden="1"/>
    <cellStyle name="Followed Hyperlink" xfId="1355" builtinId="9" hidden="1"/>
    <cellStyle name="Followed Hyperlink" xfId="499" builtinId="9" hidden="1"/>
    <cellStyle name="Followed Hyperlink" xfId="467" builtinId="9" hidden="1"/>
    <cellStyle name="Followed Hyperlink" xfId="417" builtinId="9" hidden="1"/>
    <cellStyle name="Followed Hyperlink" xfId="913" builtinId="9" hidden="1"/>
    <cellStyle name="Followed Hyperlink" xfId="803" builtinId="9" hidden="1"/>
    <cellStyle name="Followed Hyperlink" xfId="119" builtinId="9" hidden="1"/>
    <cellStyle name="Followed Hyperlink" xfId="163" builtinId="9" hidden="1"/>
    <cellStyle name="Followed Hyperlink" xfId="787" builtinId="9" hidden="1"/>
    <cellStyle name="Followed Hyperlink" xfId="847" builtinId="9" hidden="1"/>
    <cellStyle name="Followed Hyperlink" xfId="649" builtinId="9" hidden="1"/>
    <cellStyle name="Followed Hyperlink" xfId="1067" builtinId="9" hidden="1"/>
    <cellStyle name="Followed Hyperlink" xfId="173" builtinId="9" hidden="1"/>
    <cellStyle name="Followed Hyperlink" xfId="495" builtinId="9" hidden="1"/>
    <cellStyle name="Followed Hyperlink" xfId="427" builtinId="9" hidden="1"/>
    <cellStyle name="Followed Hyperlink" xfId="1005" builtinId="9" hidden="1"/>
    <cellStyle name="Followed Hyperlink" xfId="1177" builtinId="9" hidden="1"/>
    <cellStyle name="Followed Hyperlink" xfId="1213" builtinId="9" hidden="1"/>
    <cellStyle name="Followed Hyperlink" xfId="55" builtinId="9" hidden="1"/>
    <cellStyle name="Followed Hyperlink" xfId="413" builtinId="9" hidden="1"/>
    <cellStyle name="Followed Hyperlink" xfId="675" builtinId="9" hidden="1"/>
    <cellStyle name="Followed Hyperlink" xfId="1221" builtinId="9" hidden="1"/>
    <cellStyle name="Followed Hyperlink" xfId="481" builtinId="9" hidden="1"/>
    <cellStyle name="Followed Hyperlink" xfId="617" builtinId="9" hidden="1"/>
    <cellStyle name="Followed Hyperlink" xfId="887" builtinId="9" hidden="1"/>
    <cellStyle name="Followed Hyperlink" xfId="993" builtinId="9" hidden="1"/>
    <cellStyle name="Followed Hyperlink" xfId="1323" builtinId="9" hidden="1"/>
    <cellStyle name="Followed Hyperlink" xfId="1369" builtinId="9" hidden="1"/>
    <cellStyle name="Followed Hyperlink" xfId="215" builtinId="9" hidden="1"/>
    <cellStyle name="Followed Hyperlink" xfId="697" builtinId="9" hidden="1"/>
    <cellStyle name="Followed Hyperlink" xfId="1237" builtinId="9" hidden="1"/>
    <cellStyle name="Followed Hyperlink" xfId="603" builtinId="9" hidden="1"/>
    <cellStyle name="Followed Hyperlink" xfId="533" builtinId="9" hidden="1"/>
    <cellStyle name="Followed Hyperlink" xfId="245" builtinId="9" hidden="1"/>
    <cellStyle name="Followed Hyperlink" xfId="995" builtinId="9" hidden="1"/>
    <cellStyle name="Followed Hyperlink" xfId="1345" builtinId="9" hidden="1"/>
    <cellStyle name="Followed Hyperlink" xfId="83" builtinId="9" hidden="1"/>
    <cellStyle name="Followed Hyperlink" xfId="1231" builtinId="9" hidden="1"/>
    <cellStyle name="Followed Hyperlink" xfId="99" builtinId="9" hidden="1"/>
    <cellStyle name="Followed Hyperlink" xfId="313" builtinId="9" hidden="1"/>
    <cellStyle name="Followed Hyperlink" xfId="1307" builtinId="9" hidden="1"/>
    <cellStyle name="Followed Hyperlink" xfId="586" builtinId="9" hidden="1"/>
    <cellStyle name="Followed Hyperlink" xfId="95" builtinId="9" hidden="1"/>
    <cellStyle name="Followed Hyperlink" xfId="1229" builtinId="9" hidden="1"/>
    <cellStyle name="Followed Hyperlink" xfId="439" builtinId="9" hidden="1"/>
    <cellStyle name="Followed Hyperlink" xfId="955" builtinId="9" hidden="1"/>
    <cellStyle name="Followed Hyperlink" xfId="1341" builtinId="9" hidden="1"/>
    <cellStyle name="Followed Hyperlink" xfId="775" builtinId="9" hidden="1"/>
    <cellStyle name="Followed Hyperlink" xfId="973" builtinId="9" hidden="1"/>
    <cellStyle name="Followed Hyperlink" xfId="1385" builtinId="9" hidden="1"/>
    <cellStyle name="Followed Hyperlink" xfId="753" builtinId="9" hidden="1"/>
    <cellStyle name="Followed Hyperlink" xfId="7" builtinId="9" hidden="1"/>
    <cellStyle name="Followed Hyperlink" xfId="433" builtinId="9" hidden="1"/>
    <cellStyle name="Followed Hyperlink" xfId="109" builtinId="9" hidden="1"/>
    <cellStyle name="Followed Hyperlink" xfId="61" builtinId="9" hidden="1"/>
    <cellStyle name="Followed Hyperlink" xfId="627" builtinId="9" hidden="1"/>
    <cellStyle name="Followed Hyperlink" xfId="113" builtinId="9" hidden="1"/>
    <cellStyle name="Followed Hyperlink" xfId="411" builtinId="9" hidden="1"/>
    <cellStyle name="Followed Hyperlink" xfId="1109" builtinId="9" hidden="1"/>
    <cellStyle name="Followed Hyperlink" xfId="891" builtinId="9" hidden="1"/>
    <cellStyle name="Followed Hyperlink" xfId="791" builtinId="9" hidden="1"/>
    <cellStyle name="Followed Hyperlink" xfId="211" builtinId="9" hidden="1"/>
    <cellStyle name="Followed Hyperlink" xfId="205" builtinId="9" hidden="1"/>
    <cellStyle name="Followed Hyperlink" xfId="461" builtinId="9" hidden="1"/>
    <cellStyle name="Followed Hyperlink" xfId="1339" builtinId="9" hidden="1"/>
    <cellStyle name="Followed Hyperlink" xfId="673" builtinId="9" hidden="1"/>
    <cellStyle name="Followed Hyperlink" xfId="529" builtinId="9" hidden="1"/>
    <cellStyle name="Followed Hyperlink" xfId="279" builtinId="9" hidden="1"/>
    <cellStyle name="Followed Hyperlink" xfId="1227" builtinId="9" hidden="1"/>
    <cellStyle name="Followed Hyperlink" xfId="623" builtinId="9" hidden="1"/>
    <cellStyle name="Followed Hyperlink" xfId="143" builtinId="9" hidden="1"/>
    <cellStyle name="Followed Hyperlink" xfId="29" builtinId="9" hidden="1"/>
    <cellStyle name="Followed Hyperlink" xfId="1103" builtinId="9" hidden="1"/>
    <cellStyle name="Followed Hyperlink" xfId="527" builtinId="9" hidden="1"/>
    <cellStyle name="Followed Hyperlink" xfId="1207" builtinId="9" hidden="1"/>
    <cellStyle name="Followed Hyperlink" xfId="97" builtinId="9" hidden="1"/>
    <cellStyle name="Followed Hyperlink" xfId="27" builtinId="9" hidden="1"/>
    <cellStyle name="Followed Hyperlink" xfId="945" builtinId="9" hidden="1"/>
    <cellStyle name="Followed Hyperlink" xfId="485" builtinId="9" hidden="1"/>
    <cellStyle name="Followed Hyperlink" xfId="1019" builtinId="9" hidden="1"/>
    <cellStyle name="Followed Hyperlink" xfId="625" builtinId="9" hidden="1"/>
    <cellStyle name="Followed Hyperlink" xfId="729" builtinId="9" hidden="1"/>
    <cellStyle name="Followed Hyperlink" xfId="561" builtinId="9" hidden="1"/>
    <cellStyle name="Followed Hyperlink" xfId="331" builtinId="9" hidden="1"/>
    <cellStyle name="Followed Hyperlink" xfId="911" builtinId="9" hidden="1"/>
    <cellStyle name="Followed Hyperlink" xfId="580" builtinId="9" hidden="1"/>
    <cellStyle name="Followed Hyperlink" xfId="431" builtinId="9" hidden="1"/>
    <cellStyle name="Followed Hyperlink" xfId="537" builtinId="9" hidden="1"/>
    <cellStyle name="Followed Hyperlink" xfId="89" builtinId="9" hidden="1"/>
    <cellStyle name="Followed Hyperlink" xfId="105" builtinId="9" hidden="1"/>
    <cellStyle name="Followed Hyperlink" xfId="325" builtinId="9" hidden="1"/>
    <cellStyle name="Followed Hyperlink" xfId="785" builtinId="9" hidden="1"/>
    <cellStyle name="Followed Hyperlink" xfId="635" builtinId="9" hidden="1"/>
    <cellStyle name="Followed Hyperlink" xfId="1081" builtinId="9" hidden="1"/>
    <cellStyle name="Followed Hyperlink" xfId="1123" builtinId="9" hidden="1"/>
    <cellStyle name="Followed Hyperlink" xfId="1117" builtinId="9" hidden="1"/>
    <cellStyle name="Followed Hyperlink" xfId="489" builtinId="9" hidden="1"/>
    <cellStyle name="Followed Hyperlink" xfId="1099" builtinId="9" hidden="1"/>
    <cellStyle name="Followed Hyperlink" xfId="985" builtinId="9" hidden="1"/>
    <cellStyle name="Followed Hyperlink" xfId="855" builtinId="9" hidden="1"/>
    <cellStyle name="Followed Hyperlink" xfId="75" builtinId="9" hidden="1"/>
    <cellStyle name="Followed Hyperlink" xfId="683" builtinId="9" hidden="1"/>
    <cellStyle name="Followed Hyperlink" xfId="421" builtinId="9" hidden="1"/>
    <cellStyle name="Followed Hyperlink" xfId="35" builtinId="9" hidden="1"/>
    <cellStyle name="Followed Hyperlink" xfId="19" builtinId="9" hidden="1"/>
    <cellStyle name="Followed Hyperlink" xfId="719" builtinId="9" hidden="1"/>
    <cellStyle name="Followed Hyperlink" xfId="869" builtinId="9" hidden="1"/>
    <cellStyle name="Followed Hyperlink" xfId="233" builtinId="9" hidden="1"/>
    <cellStyle name="Followed Hyperlink" xfId="701" builtinId="9" hidden="1"/>
    <cellStyle name="Followed Hyperlink" xfId="459" builtinId="9" hidden="1"/>
    <cellStyle name="Followed Hyperlink" xfId="565" builtinId="9" hidden="1"/>
    <cellStyle name="Followed Hyperlink" xfId="1147" builtinId="9" hidden="1"/>
    <cellStyle name="Followed Hyperlink" xfId="695" builtinId="9" hidden="1"/>
    <cellStyle name="Followed Hyperlink" xfId="193" builtinId="9" hidden="1"/>
    <cellStyle name="Followed Hyperlink" xfId="1223" builtinId="9" hidden="1"/>
    <cellStyle name="Followed Hyperlink" xfId="1379" builtinId="9" hidden="1"/>
    <cellStyle name="Followed Hyperlink" xfId="949" builtinId="9" hidden="1"/>
    <cellStyle name="Followed Hyperlink" xfId="1259" builtinId="9" hidden="1"/>
    <cellStyle name="Followed Hyperlink" xfId="307" builtinId="9" hidden="1"/>
    <cellStyle name="Followed Hyperlink" xfId="801" builtinId="9" hidden="1"/>
    <cellStyle name="Followed Hyperlink" xfId="951" builtinId="9" hidden="1"/>
    <cellStyle name="Followed Hyperlink" xfId="1291" builtinId="9" hidden="1"/>
    <cellStyle name="Followed Hyperlink" xfId="483" builtinId="9" hidden="1"/>
    <cellStyle name="Followed Hyperlink" xfId="267" builtinId="9" hidden="1"/>
    <cellStyle name="Followed Hyperlink" xfId="773" builtinId="9" hidden="1"/>
    <cellStyle name="Followed Hyperlink" xfId="657" builtinId="9" hidden="1"/>
    <cellStyle name="Followed Hyperlink" xfId="1017" builtinId="9" hidden="1"/>
    <cellStyle name="Followed Hyperlink" xfId="823" builtinId="9" hidden="1"/>
    <cellStyle name="Followed Hyperlink" xfId="407" builtinId="9" hidden="1"/>
    <cellStyle name="Followed Hyperlink" xfId="73" builtinId="9" hidden="1"/>
    <cellStyle name="Followed Hyperlink" xfId="783" builtinId="9" hidden="1"/>
    <cellStyle name="Followed Hyperlink" xfId="594" builtinId="9" hidden="1"/>
    <cellStyle name="Followed Hyperlink" xfId="1277" builtinId="9" hidden="1"/>
    <cellStyle name="Followed Hyperlink" xfId="1287" builtinId="9" hidden="1"/>
    <cellStyle name="Followed Hyperlink" xfId="975" builtinId="9" hidden="1"/>
    <cellStyle name="Followed Hyperlink" xfId="1333" builtinId="9" hidden="1"/>
    <cellStyle name="Followed Hyperlink" xfId="1033" builtinId="9" hidden="1"/>
    <cellStyle name="Followed Hyperlink" xfId="1289" builtinId="9" hidden="1"/>
    <cellStyle name="Followed Hyperlink" xfId="351" builtinId="9" hidden="1"/>
    <cellStyle name="Followed Hyperlink" xfId="81" builtinId="9" hidden="1"/>
    <cellStyle name="Followed Hyperlink" xfId="767" builtinId="9" hidden="1"/>
    <cellStyle name="Followed Hyperlink" xfId="3" builtinId="9" hidden="1"/>
    <cellStyle name="Followed Hyperlink" xfId="551" builtinId="9" hidden="1"/>
    <cellStyle name="Followed Hyperlink" xfId="291" builtinId="9" hidden="1"/>
    <cellStyle name="Followed Hyperlink" xfId="349" builtinId="9" hidden="1"/>
    <cellStyle name="Followed Hyperlink" xfId="1051" builtinId="9" hidden="1"/>
    <cellStyle name="Followed Hyperlink" xfId="1115" builtinId="9" hidden="1"/>
    <cellStyle name="Followed Hyperlink" xfId="569" builtinId="9" hidden="1"/>
    <cellStyle name="Followed Hyperlink" xfId="277" builtinId="9" hidden="1"/>
    <cellStyle name="Followed Hyperlink" xfId="1157" builtinId="9" hidden="1"/>
    <cellStyle name="Followed Hyperlink" xfId="609" builtinId="9" hidden="1"/>
    <cellStyle name="Followed Hyperlink" xfId="1331" builtinId="9" hidden="1"/>
    <cellStyle name="Followed Hyperlink" xfId="337" builtinId="9" hidden="1"/>
    <cellStyle name="Followed Hyperlink" xfId="815" builtinId="9" hidden="1"/>
    <cellStyle name="Followed Hyperlink" xfId="297" builtinId="9" hidden="1"/>
    <cellStyle name="Followed Hyperlink" xfId="515" builtinId="9" hidden="1"/>
    <cellStyle name="Followed Hyperlink" xfId="1209" builtinId="9" hidden="1"/>
    <cellStyle name="Followed Hyperlink" xfId="601" builtinId="9" hidden="1"/>
    <cellStyle name="Followed Hyperlink" xfId="1263" builtinId="9" hidden="1"/>
    <cellStyle name="Followed Hyperlink" xfId="641" builtinId="9" hidden="1"/>
    <cellStyle name="Followed Hyperlink" xfId="157" builtinId="9" hidden="1"/>
    <cellStyle name="Followed Hyperlink" xfId="1003" builtinId="9" hidden="1"/>
    <cellStyle name="Followed Hyperlink" xfId="549" builtinId="9" hidden="1"/>
    <cellStyle name="Followed Hyperlink" xfId="1049" builtinId="9" hidden="1"/>
    <cellStyle name="Followed Hyperlink" xfId="1297" builtinId="9" hidden="1"/>
    <cellStyle name="Followed Hyperlink" xfId="57" builtinId="9" hidden="1"/>
    <cellStyle name="Followed Hyperlink" xfId="1383" builtinId="9" hidden="1"/>
    <cellStyle name="Followed Hyperlink" xfId="261" builtinId="9" hidden="1"/>
    <cellStyle name="Followed Hyperlink" xfId="21" builtinId="9" hidden="1"/>
    <cellStyle name="Followed Hyperlink" xfId="1131" builtinId="9" hidden="1"/>
    <cellStyle name="Followed Hyperlink" xfId="1191" builtinId="9" hidden="1"/>
    <cellStyle name="Followed Hyperlink" xfId="723" builtinId="9" hidden="1"/>
    <cellStyle name="Followed Hyperlink" xfId="1387" builtinId="9" hidden="1"/>
    <cellStyle name="Followed Hyperlink" xfId="111" builtinId="9" hidden="1"/>
    <cellStyle name="Followed Hyperlink" xfId="425" builtinId="9" hidden="1"/>
    <cellStyle name="Followed Hyperlink" xfId="889" builtinId="9" hidden="1"/>
    <cellStyle name="Followed Hyperlink" xfId="555" builtinId="9" hidden="1"/>
    <cellStyle name="Followed Hyperlink" xfId="237" builtinId="9" hidden="1"/>
    <cellStyle name="Followed Hyperlink" xfId="525" builtinId="9" hidden="1"/>
    <cellStyle name="Followed Hyperlink" xfId="1365" builtinId="9" hidden="1"/>
    <cellStyle name="Followed Hyperlink" xfId="465" builtinId="9" hidden="1"/>
    <cellStyle name="Followed Hyperlink" xfId="263" builtinId="9" hidden="1"/>
    <cellStyle name="Followed Hyperlink" xfId="731" builtinId="9" hidden="1"/>
    <cellStyle name="Followed Hyperlink" xfId="15" builtinId="9" hidden="1"/>
    <cellStyle name="Followed Hyperlink" xfId="799" builtinId="9" hidden="1"/>
    <cellStyle name="Followed Hyperlink" xfId="271" builtinId="9" hidden="1"/>
    <cellStyle name="Followed Hyperlink" xfId="343" builtinId="9" hidden="1"/>
    <cellStyle name="Followed Hyperlink" xfId="209" builtinId="9" hidden="1"/>
    <cellStyle name="Followed Hyperlink" xfId="69" builtinId="9" hidden="1"/>
    <cellStyle name="Followed Hyperlink" xfId="1151" builtinId="9" hidden="1"/>
    <cellStyle name="Followed Hyperlink" xfId="1091" builtinId="9" hidden="1"/>
    <cellStyle name="Followed Hyperlink" xfId="765" builtinId="9" hidden="1"/>
    <cellStyle name="Followed Hyperlink" xfId="1149" builtinId="9" hidden="1"/>
    <cellStyle name="Followed Hyperlink" xfId="727" builtinId="9" hidden="1"/>
    <cellStyle name="Followed Hyperlink" xfId="663" builtinId="9" hidden="1"/>
    <cellStyle name="Followed Hyperlink" xfId="1233" builtinId="9" hidden="1"/>
    <cellStyle name="Followed Hyperlink" xfId="747" builtinId="9" hidden="1"/>
    <cellStyle name="Followed Hyperlink" xfId="241" builtinId="9" hidden="1"/>
    <cellStyle name="Followed Hyperlink" xfId="1039" builtinId="9" hidden="1"/>
    <cellStyle name="Followed Hyperlink" xfId="863" builtinId="9" hidden="1"/>
    <cellStyle name="Followed Hyperlink" xfId="813" builtinId="9" hidden="1"/>
    <cellStyle name="Followed Hyperlink" xfId="885" builtinId="9" hidden="1"/>
    <cellStyle name="Followed Hyperlink" xfId="1015" builtinId="9" hidden="1"/>
    <cellStyle name="Followed Hyperlink" xfId="293" builtinId="9" hidden="1"/>
    <cellStyle name="Followed Hyperlink" xfId="155" builtinId="9" hidden="1"/>
    <cellStyle name="Followed Hyperlink" xfId="835" builtinId="9" hidden="1"/>
    <cellStyle name="Followed Hyperlink" xfId="445" builtinId="9" hidden="1"/>
    <cellStyle name="Followed Hyperlink" xfId="137" builtinId="9" hidden="1"/>
    <cellStyle name="Followed Hyperlink" xfId="1197" builtinId="9" hidden="1"/>
    <cellStyle name="Followed Hyperlink" xfId="1167" builtinId="9" hidden="1"/>
    <cellStyle name="Followed Hyperlink" xfId="531" builtinId="9" hidden="1"/>
    <cellStyle name="Followed Hyperlink" xfId="957" builtinId="9" hidden="1"/>
    <cellStyle name="Followed Hyperlink" xfId="861" builtinId="9" hidden="1"/>
    <cellStyle name="Followed Hyperlink" xfId="317" builtinId="9" hidden="1"/>
    <cellStyle name="Followed Hyperlink" xfId="1371" builtinId="9" hidden="1"/>
    <cellStyle name="Followed Hyperlink" xfId="107" builtinId="9" hidden="1"/>
    <cellStyle name="Followed Hyperlink" xfId="771" builtinId="9" hidden="1"/>
    <cellStyle name="Followed Hyperlink" xfId="201" builtinId="9" hidden="1"/>
    <cellStyle name="Followed Hyperlink" xfId="517" builtinId="9" hidden="1"/>
    <cellStyle name="Followed Hyperlink" xfId="383" builtinId="9" hidden="1"/>
    <cellStyle name="Followed Hyperlink" xfId="639" builtinId="9" hidden="1"/>
    <cellStyle name="Followed Hyperlink" xfId="51" builtinId="9" hidden="1"/>
    <cellStyle name="Followed Hyperlink" xfId="1073" builtinId="9" hidden="1"/>
    <cellStyle name="Followed Hyperlink" xfId="1337" builtinId="9" hidden="1"/>
    <cellStyle name="Followed Hyperlink" xfId="1327" builtinId="9" hidden="1"/>
    <cellStyle name="Followed Hyperlink" xfId="33" builtinId="9" hidden="1"/>
    <cellStyle name="Followed Hyperlink" xfId="987" builtinId="9" hidden="1"/>
    <cellStyle name="Followed Hyperlink" xfId="513" builtinId="9" hidden="1"/>
    <cellStyle name="Followed Hyperlink" xfId="335" builtinId="9" hidden="1"/>
    <cellStyle name="Followed Hyperlink" xfId="497" builtinId="9" hidden="1"/>
    <cellStyle name="Followed Hyperlink" xfId="725" builtinId="9" hidden="1"/>
    <cellStyle name="Followed Hyperlink" xfId="235" builtinId="9" hidden="1"/>
    <cellStyle name="Followed Hyperlink" xfId="469" builtinId="9" hidden="1"/>
    <cellStyle name="Followed Hyperlink" xfId="1089" builtinId="9" hidden="1"/>
    <cellStyle name="Followed Hyperlink" xfId="1037" builtinId="9" hidden="1"/>
    <cellStyle name="Followed Hyperlink" xfId="423" builtinId="9" hidden="1"/>
    <cellStyle name="Followed Hyperlink" xfId="807" builtinId="9" hidden="1"/>
    <cellStyle name="Followed Hyperlink" xfId="1217" builtinId="9" hidden="1"/>
    <cellStyle name="Followed Hyperlink" xfId="699" builtinId="9" hidden="1"/>
    <cellStyle name="Followed Hyperlink" xfId="117" builtinId="9" hidden="1"/>
    <cellStyle name="Followed Hyperlink" xfId="841" builtinId="9" hidden="1"/>
    <cellStyle name="Followed Hyperlink" xfId="39" builtinId="9" hidden="1"/>
    <cellStyle name="Followed Hyperlink" xfId="895" builtinId="9" hidden="1"/>
    <cellStyle name="Followed Hyperlink" xfId="929" builtinId="9" hidden="1"/>
    <cellStyle name="Followed Hyperlink" xfId="1001" builtinId="9" hidden="1"/>
    <cellStyle name="Followed Hyperlink" xfId="971" builtinId="9" hidden="1"/>
    <cellStyle name="Followed Hyperlink" xfId="1293" builtinId="9" hidden="1"/>
    <cellStyle name="Hyperlink" xfId="500" builtinId="8" hidden="1"/>
    <cellStyle name="Hyperlink" xfId="438" builtinId="8" hidden="1"/>
    <cellStyle name="Hyperlink" xfId="648" builtinId="8" hidden="1"/>
    <cellStyle name="Hyperlink" xfId="606" builtinId="8" hidden="1"/>
    <cellStyle name="Hyperlink" xfId="1256" builtinId="8" hidden="1"/>
    <cellStyle name="Hyperlink" xfId="974" builtinId="8" hidden="1"/>
    <cellStyle name="Hyperlink" xfId="36" builtinId="8" hidden="1"/>
    <cellStyle name="Hyperlink" xfId="442" builtinId="8" hidden="1"/>
    <cellStyle name="Hyperlink" xfId="258" builtinId="8" hidden="1"/>
    <cellStyle name="Hyperlink" xfId="1262" builtinId="8" hidden="1"/>
    <cellStyle name="Hyperlink" xfId="524" builtinId="8" hidden="1"/>
    <cellStyle name="Hyperlink" xfId="988" builtinId="8" hidden="1"/>
    <cellStyle name="Hyperlink" xfId="1150" builtinId="8" hidden="1"/>
    <cellStyle name="Hyperlink" xfId="1372" builtinId="8" hidden="1"/>
    <cellStyle name="Hyperlink" xfId="356" builtinId="8" hidden="1"/>
    <cellStyle name="Hyperlink" xfId="190" builtinId="8" hidden="1"/>
    <cellStyle name="Hyperlink" xfId="730" builtinId="8" hidden="1"/>
    <cellStyle name="Hyperlink" xfId="86" builtinId="8" hidden="1"/>
    <cellStyle name="Hyperlink" xfId="1172" builtinId="8" hidden="1"/>
    <cellStyle name="Hyperlink" xfId="1034" builtinId="8" hidden="1"/>
    <cellStyle name="Hyperlink" xfId="1306" builtinId="8" hidden="1"/>
    <cellStyle name="Hyperlink" xfId="146" builtinId="8" hidden="1"/>
    <cellStyle name="Hyperlink" xfId="1030" builtinId="8" hidden="1"/>
    <cellStyle name="Hyperlink" xfId="288" builtinId="8" hidden="1"/>
    <cellStyle name="Hyperlink" xfId="290" builtinId="8" hidden="1"/>
    <cellStyle name="Hyperlink" xfId="386" builtinId="8" hidden="1"/>
    <cellStyle name="Hyperlink" xfId="622" builtinId="8" hidden="1"/>
    <cellStyle name="Hyperlink" xfId="210" builtinId="8" hidden="1"/>
    <cellStyle name="Hyperlink" xfId="394" builtinId="8" hidden="1"/>
    <cellStyle name="Hyperlink" xfId="844" builtinId="8" hidden="1"/>
    <cellStyle name="Hyperlink" xfId="40" builtinId="8" hidden="1"/>
    <cellStyle name="Hyperlink" xfId="1160" builtinId="8" hidden="1"/>
    <cellStyle name="Hyperlink" xfId="1086" builtinId="8" hidden="1"/>
    <cellStyle name="Hyperlink" xfId="686" builtinId="8" hidden="1"/>
    <cellStyle name="Hyperlink" xfId="400" builtinId="8" hidden="1"/>
    <cellStyle name="Hyperlink" xfId="800" builtinId="8" hidden="1"/>
    <cellStyle name="Hyperlink" xfId="546" builtinId="8" hidden="1"/>
    <cellStyle name="Hyperlink" xfId="850" builtinId="8" hidden="1"/>
    <cellStyle name="Hyperlink" xfId="554" builtinId="8" hidden="1"/>
    <cellStyle name="Hyperlink" xfId="832" builtinId="8" hidden="1"/>
    <cellStyle name="Hyperlink" xfId="748" builtinId="8" hidden="1"/>
    <cellStyle name="Hyperlink" xfId="618" builtinId="8" hidden="1"/>
    <cellStyle name="Hyperlink" xfId="120" builtinId="8" hidden="1"/>
    <cellStyle name="Hyperlink" xfId="786" builtinId="8" hidden="1"/>
    <cellStyle name="Hyperlink" xfId="608" builtinId="8" hidden="1"/>
    <cellStyle name="Hyperlink" xfId="426" builtinId="8" hidden="1"/>
    <cellStyle name="Hyperlink" xfId="526" builtinId="8" hidden="1"/>
    <cellStyle name="Hyperlink" xfId="104" builtinId="8" hidden="1"/>
    <cellStyle name="Hyperlink" xfId="1136" builtinId="8" hidden="1"/>
    <cellStyle name="Hyperlink" xfId="1084" builtinId="8" hidden="1"/>
    <cellStyle name="Hyperlink" xfId="206" builtinId="8" hidden="1"/>
    <cellStyle name="Hyperlink" xfId="256" builtinId="8" hidden="1"/>
    <cellStyle name="Hyperlink" xfId="510" builtinId="8" hidden="1"/>
    <cellStyle name="Hyperlink" xfId="694" builtinId="8" hidden="1"/>
    <cellStyle name="Hyperlink" xfId="1226" builtinId="8" hidden="1"/>
    <cellStyle name="Hyperlink" xfId="1006" builtinId="8" hidden="1"/>
    <cellStyle name="Hyperlink" xfId="310" builtinId="8" hidden="1"/>
    <cellStyle name="Hyperlink" xfId="22" builtinId="8" hidden="1"/>
    <cellStyle name="Hyperlink" xfId="900" builtinId="8" hidden="1"/>
    <cellStyle name="Hyperlink" xfId="924" builtinId="8" hidden="1"/>
    <cellStyle name="Hyperlink" xfId="138" builtinId="8" hidden="1"/>
    <cellStyle name="Hyperlink" xfId="864" builtinId="8" hidden="1"/>
    <cellStyle name="Hyperlink" xfId="188" builtinId="8" hidden="1"/>
    <cellStyle name="Hyperlink" xfId="184" builtinId="8" hidden="1"/>
    <cellStyle name="Hyperlink" xfId="102" builtinId="8" hidden="1"/>
    <cellStyle name="Hyperlink" xfId="898" builtinId="8" hidden="1"/>
    <cellStyle name="Hyperlink" xfId="8" builtinId="8" hidden="1"/>
    <cellStyle name="Hyperlink" xfId="530" builtinId="8" hidden="1"/>
    <cellStyle name="Hyperlink" xfId="13" builtinId="8" hidden="1"/>
    <cellStyle name="Hyperlink" xfId="726" builtinId="8" hidden="1"/>
    <cellStyle name="Hyperlink" xfId="324" builtinId="8" hidden="1"/>
    <cellStyle name="Hyperlink" xfId="908" builtinId="8" hidden="1"/>
    <cellStyle name="Hyperlink" xfId="564" builtinId="8" hidden="1"/>
    <cellStyle name="Hyperlink" xfId="1286" builtinId="8" hidden="1"/>
    <cellStyle name="Hyperlink" xfId="1102" builtinId="8" hidden="1"/>
    <cellStyle name="Hyperlink" xfId="122" builtinId="8" hidden="1"/>
    <cellStyle name="Hyperlink" xfId="280" builtinId="8" hidden="1"/>
    <cellStyle name="Hyperlink" xfId="932" builtinId="8" hidden="1"/>
    <cellStyle name="Hyperlink" xfId="46" builtinId="8" hidden="1"/>
    <cellStyle name="Hyperlink" xfId="50" builtinId="8" hidden="1"/>
    <cellStyle name="Hyperlink" xfId="168" builtinId="8" hidden="1"/>
    <cellStyle name="Hyperlink" xfId="178" builtinId="8" hidden="1"/>
    <cellStyle name="Hyperlink" xfId="1112" builtinId="8" hidden="1"/>
    <cellStyle name="Hyperlink" xfId="1376" builtinId="8" hidden="1"/>
    <cellStyle name="Hyperlink" xfId="796" builtinId="8" hidden="1"/>
    <cellStyle name="Hyperlink" xfId="504" builtinId="8" hidden="1"/>
    <cellStyle name="Hyperlink" xfId="585" builtinId="8" hidden="1"/>
    <cellStyle name="Hyperlink" xfId="970" builtinId="8" hidden="1"/>
    <cellStyle name="Hyperlink" xfId="390" builtinId="8" hidden="1"/>
    <cellStyle name="Hyperlink" xfId="112" builtinId="8" hidden="1"/>
    <cellStyle name="Hyperlink" xfId="1322" builtinId="8" hidden="1"/>
    <cellStyle name="Hyperlink" xfId="1058" builtinId="8" hidden="1"/>
    <cellStyle name="Hyperlink" xfId="488" builtinId="8" hidden="1"/>
    <cellStyle name="Hyperlink" xfId="662" builtinId="8" hidden="1"/>
    <cellStyle name="Hyperlink" xfId="986" builtinId="8" hidden="1"/>
    <cellStyle name="Hyperlink" xfId="930" builtinId="8" hidden="1"/>
    <cellStyle name="Hyperlink" xfId="894" builtinId="8" hidden="1"/>
    <cellStyle name="Hyperlink" xfId="762" builtinId="8" hidden="1"/>
    <cellStyle name="Hyperlink" xfId="802" builtinId="8" hidden="1"/>
    <cellStyle name="Hyperlink" xfId="846" builtinId="8" hidden="1"/>
    <cellStyle name="Hyperlink" xfId="1236" builtinId="8" hidden="1"/>
    <cellStyle name="Hyperlink" xfId="1082" builtinId="8" hidden="1"/>
    <cellStyle name="Hyperlink" xfId="1098" builtinId="8" hidden="1"/>
    <cellStyle name="Hyperlink" xfId="1346" builtinId="8" hidden="1"/>
    <cellStyle name="Hyperlink" xfId="758" builtinId="8" hidden="1"/>
    <cellStyle name="Hyperlink" xfId="1040" builtinId="8" hidden="1"/>
    <cellStyle name="Hyperlink" xfId="74" builtinId="8" hidden="1"/>
    <cellStyle name="Hyperlink" xfId="224" builtinId="8" hidden="1"/>
    <cellStyle name="Hyperlink" xfId="810" builtinId="8" hidden="1"/>
    <cellStyle name="Hyperlink" xfId="1124" builtinId="8" hidden="1"/>
    <cellStyle name="Hyperlink" xfId="1156" builtinId="8" hidden="1"/>
    <cellStyle name="Hyperlink" xfId="1088" builtinId="8" hidden="1"/>
    <cellStyle name="Hyperlink" xfId="1168" builtinId="8" hidden="1"/>
    <cellStyle name="Hyperlink" xfId="878" builtinId="8" hidden="1"/>
    <cellStyle name="Hyperlink" xfId="593" builtinId="8" hidden="1"/>
    <cellStyle name="Hyperlink" xfId="264" builtinId="8" hidden="1"/>
    <cellStyle name="Hyperlink" xfId="640" builtinId="8" hidden="1"/>
    <cellStyle name="Hyperlink" xfId="1134" builtinId="8" hidden="1"/>
    <cellStyle name="Hyperlink" xfId="1164" builtinId="8" hidden="1"/>
    <cellStyle name="Hyperlink" xfId="196" builtinId="8" hidden="1"/>
    <cellStyle name="Hyperlink" xfId="902" builtinId="8" hidden="1"/>
    <cellStyle name="Hyperlink" xfId="680" builtinId="8" hidden="1"/>
    <cellStyle name="Hyperlink" xfId="548" builtinId="8" hidden="1"/>
    <cellStyle name="Hyperlink" xfId="587" builtinId="8" hidden="1"/>
    <cellStyle name="Hyperlink" xfId="362" builtinId="8" hidden="1"/>
    <cellStyle name="Hyperlink" xfId="1272" builtinId="8" hidden="1"/>
    <cellStyle name="Hyperlink" xfId="96" builtinId="8" hidden="1"/>
    <cellStyle name="Hyperlink" xfId="1294" builtinId="8" hidden="1"/>
    <cellStyle name="Hyperlink" xfId="404" builtinId="8" hidden="1"/>
    <cellStyle name="Hyperlink" xfId="398" builtinId="8" hidden="1"/>
    <cellStyle name="Hyperlink" xfId="1044" builtinId="8" hidden="1"/>
    <cellStyle name="Hyperlink" xfId="1204" builtinId="8" hidden="1"/>
    <cellStyle name="Hyperlink" xfId="866" builtinId="8" hidden="1"/>
    <cellStyle name="Hyperlink" xfId="108" builtinId="8" hidden="1"/>
    <cellStyle name="Hyperlink" xfId="1388" builtinId="8" hidden="1"/>
    <cellStyle name="Hyperlink" xfId="716" builtinId="8" hidden="1"/>
    <cellStyle name="Hyperlink" xfId="1004" builtinId="8" hidden="1"/>
    <cellStyle name="Hyperlink" xfId="1266" builtinId="8" hidden="1"/>
    <cellStyle name="Hyperlink" xfId="1048" builtinId="8" hidden="1"/>
    <cellStyle name="Hyperlink" xfId="574" builtinId="8" hidden="1"/>
    <cellStyle name="Hyperlink" xfId="782" builtinId="8" hidden="1"/>
    <cellStyle name="Hyperlink" xfId="656" builtinId="8" hidden="1"/>
    <cellStyle name="Hyperlink" xfId="1356" builtinId="8" hidden="1"/>
    <cellStyle name="Hyperlink" xfId="744" builtinId="8" hidden="1"/>
    <cellStyle name="Hyperlink" xfId="200" builtinId="8" hidden="1"/>
    <cellStyle name="Hyperlink" xfId="644" builtinId="8" hidden="1"/>
    <cellStyle name="Hyperlink" xfId="314" builtinId="8" hidden="1"/>
    <cellStyle name="Hyperlink" xfId="1096" builtinId="8" hidden="1"/>
    <cellStyle name="Hyperlink" xfId="1254" builtinId="8" hidden="1"/>
    <cellStyle name="Hyperlink" xfId="1042" builtinId="8" hidden="1"/>
    <cellStyle name="Hyperlink" xfId="944" builtinId="8" hidden="1"/>
    <cellStyle name="Hyperlink" xfId="854" builtinId="8" hidden="1"/>
    <cellStyle name="Hyperlink" xfId="856" builtinId="8" hidden="1"/>
    <cellStyle name="Hyperlink" xfId="308" builtinId="8" hidden="1"/>
    <cellStyle name="Hyperlink" xfId="1130" builtinId="8" hidden="1"/>
    <cellStyle name="Hyperlink" xfId="1022" builtinId="8" hidden="1"/>
    <cellStyle name="Hyperlink" xfId="56" builtinId="8" hidden="1"/>
    <cellStyle name="Hyperlink" xfId="576" builtinId="8" hidden="1"/>
    <cellStyle name="Hyperlink" xfId="942" builtinId="8" hidden="1"/>
    <cellStyle name="Hyperlink" xfId="234" builtinId="8" hidden="1"/>
    <cellStyle name="Hyperlink" xfId="858" builtinId="8" hidden="1"/>
    <cellStyle name="Hyperlink" xfId="692" builtinId="8" hidden="1"/>
    <cellStyle name="Hyperlink" xfId="890" builtinId="8" hidden="1"/>
    <cellStyle name="Hyperlink" xfId="436" builtinId="8" hidden="1"/>
    <cellStyle name="Hyperlink" xfId="452" builtinId="8" hidden="1"/>
    <cellStyle name="Hyperlink" xfId="1070" builtinId="8" hidden="1"/>
    <cellStyle name="Hyperlink" xfId="882" builtinId="8" hidden="1"/>
    <cellStyle name="Hyperlink" xfId="506" builtinId="8" hidden="1"/>
    <cellStyle name="Hyperlink" xfId="214" builtinId="8" hidden="1"/>
    <cellStyle name="Hyperlink" xfId="994" builtinId="8" hidden="1"/>
    <cellStyle name="Hyperlink" xfId="1132" builtinId="8" hidden="1"/>
    <cellStyle name="Hyperlink" xfId="346" builtinId="8" hidden="1"/>
    <cellStyle name="Hyperlink" xfId="416" builtinId="8" hidden="1"/>
    <cellStyle name="Hyperlink" xfId="220" builtinId="8" hidden="1"/>
    <cellStyle name="Hyperlink" xfId="560" builtinId="8" hidden="1"/>
    <cellStyle name="Hyperlink" xfId="954" builtinId="8" hidden="1"/>
    <cellStyle name="Hyperlink" xfId="352" builtinId="8" hidden="1"/>
    <cellStyle name="Hyperlink" xfId="440" builtinId="8" hidden="1"/>
    <cellStyle name="Hyperlink" xfId="1260" builtinId="8" hidden="1"/>
    <cellStyle name="Hyperlink" xfId="454" builtinId="8" hidden="1"/>
    <cellStyle name="Hyperlink" xfId="446" builtinId="8" hidden="1"/>
    <cellStyle name="Hyperlink" xfId="1304" builtinId="8" hidden="1"/>
    <cellStyle name="Hyperlink" xfId="326" builtinId="8" hidden="1"/>
    <cellStyle name="Hyperlink" xfId="1276" builtinId="8" hidden="1"/>
    <cellStyle name="Hyperlink" xfId="242" builtinId="8" hidden="1"/>
    <cellStyle name="Hyperlink" xfId="1106" builtinId="8" hidden="1"/>
    <cellStyle name="Hyperlink" xfId="118" builtinId="8" hidden="1"/>
    <cellStyle name="Hyperlink" xfId="64" builtinId="8" hidden="1"/>
    <cellStyle name="Hyperlink" xfId="182" builtinId="8" hidden="1"/>
    <cellStyle name="Hyperlink" xfId="572" builtinId="8" hidden="1"/>
    <cellStyle name="Hyperlink" xfId="579" builtinId="8" hidden="1"/>
    <cellStyle name="Hyperlink" xfId="602" builtinId="8" hidden="1"/>
    <cellStyle name="Hyperlink" xfId="292" builtinId="8" hidden="1"/>
    <cellStyle name="Hyperlink" xfId="1208" builtinId="8" hidden="1"/>
    <cellStyle name="Hyperlink" xfId="926" builtinId="8" hidden="1"/>
    <cellStyle name="Hyperlink" xfId="534" builtinId="8" hidden="1"/>
    <cellStyle name="Hyperlink" xfId="338" builtinId="8" hidden="1"/>
    <cellStyle name="Hyperlink" xfId="946" builtinId="8" hidden="1"/>
    <cellStyle name="Hyperlink" xfId="1056" builtinId="8" hidden="1"/>
    <cellStyle name="Hyperlink" xfId="110" builtinId="8" hidden="1"/>
    <cellStyle name="Hyperlink" xfId="6" builtinId="8" hidden="1"/>
    <cellStyle name="Hyperlink" xfId="1368" builtinId="8" hidden="1"/>
    <cellStyle name="Hyperlink" xfId="556" builtinId="8" hidden="1"/>
    <cellStyle name="Hyperlink" xfId="784" builtinId="8" hidden="1"/>
    <cellStyle name="Hyperlink" xfId="982" builtinId="8" hidden="1"/>
    <cellStyle name="Hyperlink" xfId="72" builtinId="8" hidden="1"/>
    <cellStyle name="Hyperlink" xfId="874" builtinId="8" hidden="1"/>
    <cellStyle name="Hyperlink" xfId="1000" builtinId="8" hidden="1"/>
    <cellStyle name="Hyperlink" xfId="630" builtinId="8" hidden="1"/>
    <cellStyle name="Hyperlink" xfId="1206" builtinId="8" hidden="1"/>
    <cellStyle name="Hyperlink" xfId="1312" builtinId="8" hidden="1"/>
    <cellStyle name="Hyperlink" xfId="1064" builtinId="8" hidden="1"/>
    <cellStyle name="Hyperlink" xfId="370" builtinId="8" hidden="1"/>
    <cellStyle name="Hyperlink" xfId="876" builtinId="8" hidden="1"/>
    <cellStyle name="Hyperlink" xfId="646" builtinId="8" hidden="1"/>
    <cellStyle name="Hyperlink" xfId="508" builtinId="8" hidden="1"/>
    <cellStyle name="Hyperlink" xfId="1242" builtinId="8" hidden="1"/>
    <cellStyle name="Hyperlink" xfId="1178" builtinId="8" hidden="1"/>
    <cellStyle name="Hyperlink" xfId="522" builtinId="8" hidden="1"/>
    <cellStyle name="Hyperlink" xfId="642" builtinId="8" hidden="1"/>
    <cellStyle name="Hyperlink" xfId="368" builtinId="8" hidden="1"/>
    <cellStyle name="Hyperlink" xfId="1060" builtinId="8" hidden="1"/>
    <cellStyle name="Hyperlink" xfId="384" builtinId="8" hidden="1"/>
    <cellStyle name="Hyperlink" xfId="132" builtinId="8" hidden="1"/>
    <cellStyle name="Hyperlink" xfId="538" builtinId="8" hidden="1"/>
    <cellStyle name="Hyperlink" xfId="1364" builtinId="8" hidden="1"/>
    <cellStyle name="Hyperlink" xfId="952" builtinId="8" hidden="1"/>
    <cellStyle name="Hyperlink" xfId="886" builtinId="8" hidden="1"/>
    <cellStyle name="Hyperlink" xfId="1296" builtinId="8" hidden="1"/>
    <cellStyle name="Hyperlink" xfId="114" builtinId="8" hidden="1"/>
    <cellStyle name="Hyperlink" xfId="860" builtinId="8" hidden="1"/>
    <cellStyle name="Hyperlink" xfId="660" builtinId="8" hidden="1"/>
    <cellStyle name="Hyperlink" xfId="948" builtinId="8" hidden="1"/>
    <cellStyle name="Hyperlink" xfId="294" builtinId="8" hidden="1"/>
    <cellStyle name="Hyperlink" xfId="1054" builtinId="8" hidden="1"/>
    <cellStyle name="Hyperlink" xfId="358" builtinId="8" hidden="1"/>
    <cellStyle name="Hyperlink" xfId="990" builtinId="8" hidden="1"/>
    <cellStyle name="Hyperlink" xfId="1210" builtinId="8" hidden="1"/>
    <cellStyle name="Hyperlink" xfId="918" builtinId="8" hidden="1"/>
    <cellStyle name="Hyperlink" xfId="262" builtinId="8" hidden="1"/>
    <cellStyle name="Hyperlink" xfId="1332" builtinId="8" hidden="1"/>
    <cellStyle name="Hyperlink" xfId="342" builtinId="8" hidden="1"/>
    <cellStyle name="Hyperlink" xfId="596" builtinId="8" hidden="1"/>
    <cellStyle name="Hyperlink" xfId="589" builtinId="8" hidden="1"/>
    <cellStyle name="Hyperlink" xfId="1250" builtinId="8" hidden="1"/>
    <cellStyle name="Hyperlink" xfId="144" builtinId="8" hidden="1"/>
    <cellStyle name="Hyperlink" xfId="702" builtinId="8" hidden="1"/>
    <cellStyle name="Hyperlink" xfId="330" builtinId="8" hidden="1"/>
    <cellStyle name="Hyperlink" xfId="816" builtinId="8" hidden="1"/>
    <cellStyle name="Hyperlink" xfId="568" builtinId="8" hidden="1"/>
    <cellStyle name="Hyperlink" xfId="1026" builtinId="8" hidden="1"/>
    <cellStyle name="Hyperlink" xfId="1342" builtinId="8" hidden="1"/>
    <cellStyle name="Hyperlink" xfId="804" builtinId="8" hidden="1"/>
    <cellStyle name="Hyperlink" xfId="410" builtinId="8" hidden="1"/>
    <cellStyle name="Hyperlink" xfId="1002" builtinId="8" hidden="1"/>
    <cellStyle name="Hyperlink" xfId="128" builtinId="8" hidden="1"/>
    <cellStyle name="Hyperlink" xfId="48" builtinId="8" hidden="1"/>
    <cellStyle name="Hyperlink" xfId="266" builtinId="8" hidden="1"/>
    <cellStyle name="Hyperlink" xfId="98" builtinId="8" hidden="1"/>
    <cellStyle name="Hyperlink" xfId="306" builtinId="8" hidden="1"/>
    <cellStyle name="Hyperlink" xfId="148" builtinId="8" hidden="1"/>
    <cellStyle name="Hyperlink" xfId="614" builtinId="8" hidden="1"/>
    <cellStyle name="Hyperlink" xfId="516" builtinId="8" hidden="1"/>
    <cellStyle name="Hyperlink" xfId="600" builtinId="8" hidden="1"/>
    <cellStyle name="Hyperlink" xfId="366" builtinId="8" hidden="1"/>
    <cellStyle name="Hyperlink" xfId="514" builtinId="8" hidden="1"/>
    <cellStyle name="Hyperlink" xfId="1264" builtinId="8" hidden="1"/>
    <cellStyle name="Hyperlink" xfId="1240" builtinId="8" hidden="1"/>
    <cellStyle name="Hyperlink" xfId="1224" builtinId="8" hidden="1"/>
    <cellStyle name="Hyperlink" xfId="126" builtinId="8" hidden="1"/>
    <cellStyle name="Hyperlink" xfId="162" builtinId="8" hidden="1"/>
    <cellStyle name="Hyperlink" xfId="388" builtinId="8" hidden="1"/>
    <cellStyle name="Hyperlink" xfId="740" builtinId="8" hidden="1"/>
    <cellStyle name="Hyperlink" xfId="24" builtinId="8" hidden="1"/>
    <cellStyle name="Hyperlink" xfId="754" builtinId="8" hidden="1"/>
    <cellStyle name="Hyperlink" xfId="920" builtinId="8" hidden="1"/>
    <cellStyle name="Hyperlink" xfId="512" builtinId="8" hidden="1"/>
    <cellStyle name="Hyperlink" xfId="130" builtinId="8" hidden="1"/>
    <cellStyle name="Hyperlink" xfId="1358" builtinId="8" hidden="1"/>
    <cellStyle name="Hyperlink" xfId="768" builtinId="8" hidden="1"/>
    <cellStyle name="Hyperlink" xfId="76" builtinId="8" hidden="1"/>
    <cellStyle name="Hyperlink" xfId="936" builtinId="8" hidden="1"/>
    <cellStyle name="Hyperlink" xfId="80" builtinId="8" hidden="1"/>
    <cellStyle name="Hyperlink" xfId="354" builtinId="8" hidden="1"/>
    <cellStyle name="Hyperlink" xfId="204" builtinId="8" hidden="1"/>
    <cellStyle name="Hyperlink" xfId="1326" builtinId="8" hidden="1"/>
    <cellStyle name="Hyperlink" xfId="1090" builtinId="8" hidden="1"/>
    <cellStyle name="Hyperlink" xfId="282" builtinId="8" hidden="1"/>
    <cellStyle name="Hyperlink" xfId="1092" builtinId="8" hidden="1"/>
    <cellStyle name="Hyperlink" xfId="360" builtinId="8" hidden="1"/>
    <cellStyle name="Hyperlink" xfId="374" builtinId="8" hidden="1"/>
    <cellStyle name="Hyperlink" xfId="1324" builtinId="8" hidden="1"/>
    <cellStyle name="Hyperlink" xfId="1292" builtinId="8" hidden="1"/>
    <cellStyle name="Hyperlink" xfId="1074" builtinId="8" hidden="1"/>
    <cellStyle name="Hyperlink" xfId="814" builtinId="8" hidden="1"/>
    <cellStyle name="Hyperlink" xfId="708" builtinId="8" hidden="1"/>
    <cellStyle name="Hyperlink" xfId="150" builtinId="8" hidden="1"/>
    <cellStyle name="Hyperlink" xfId="812" builtinId="8" hidden="1"/>
    <cellStyle name="Hyperlink" xfId="1310" builtinId="8" hidden="1"/>
    <cellStyle name="Hyperlink" xfId="1336" builtinId="8" hidden="1"/>
    <cellStyle name="Hyperlink" xfId="1180" builtinId="8" hidden="1"/>
    <cellStyle name="Hyperlink" xfId="962" builtinId="8" hidden="1"/>
    <cellStyle name="Hyperlink" xfId="1078" builtinId="8" hidden="1"/>
    <cellStyle name="Hyperlink" xfId="28" builtinId="8" hidden="1"/>
    <cellStyle name="Hyperlink" xfId="1146" builtinId="8" hidden="1"/>
    <cellStyle name="Hyperlink" xfId="976" builtinId="8" hidden="1"/>
    <cellStyle name="Hyperlink" xfId="100" builtinId="8" hidden="1"/>
    <cellStyle name="Hyperlink" xfId="654" builtinId="8" hidden="1"/>
    <cellStyle name="Hyperlink" xfId="520" builtinId="8" hidden="1"/>
    <cellStyle name="Hyperlink" xfId="888" builtinId="8" hidden="1"/>
    <cellStyle name="Hyperlink" xfId="1348" builtinId="8" hidden="1"/>
    <cellStyle name="Hyperlink" xfId="140" builtinId="8" hidden="1"/>
    <cellStyle name="Hyperlink" xfId="1308" builtinId="8" hidden="1"/>
    <cellStyle name="Hyperlink" xfId="598" builtinId="8" hidden="1"/>
    <cellStyle name="Hyperlink" xfId="170" builtinId="8" hidden="1"/>
    <cellStyle name="Hyperlink" xfId="222" builtinId="8" hidden="1"/>
    <cellStyle name="Hyperlink" xfId="808" builtinId="8" hidden="1"/>
    <cellStyle name="Hyperlink" xfId="1300" builtinId="8" hidden="1"/>
    <cellStyle name="Hyperlink" xfId="88" builtinId="8" hidden="1"/>
    <cellStyle name="Hyperlink" xfId="1024" builtinId="8" hidden="1"/>
    <cellStyle name="Hyperlink" xfId="668" builtinId="8" hidden="1"/>
    <cellStyle name="Hyperlink" xfId="794" builtinId="8" hidden="1"/>
    <cellStyle name="Hyperlink" xfId="420" builtinId="8" hidden="1"/>
    <cellStyle name="Hyperlink" xfId="1046" builtinId="8" hidden="1"/>
    <cellStyle name="Hyperlink" xfId="1108" builtinId="8" hidden="1"/>
    <cellStyle name="Hyperlink" xfId="458" builtinId="8" hidden="1"/>
    <cellStyle name="Hyperlink" xfId="750" builtinId="8" hidden="1"/>
    <cellStyle name="Hyperlink" xfId="498" builtinId="8" hidden="1"/>
    <cellStyle name="Hyperlink" xfId="302" builtinId="8" hidden="1"/>
    <cellStyle name="Hyperlink" xfId="776" builtinId="8" hidden="1"/>
    <cellStyle name="Hyperlink" xfId="78" builtinId="8" hidden="1"/>
    <cellStyle name="Hyperlink" xfId="1148" builtinId="8" hidden="1"/>
    <cellStyle name="Hyperlink" xfId="160" builtinId="8" hidden="1"/>
    <cellStyle name="Hyperlink" xfId="996" builtinId="8" hidden="1"/>
    <cellStyle name="Hyperlink" xfId="1128" builtinId="8" hidden="1"/>
    <cellStyle name="Hyperlink" xfId="318" builtinId="8" hidden="1"/>
    <cellStyle name="Hyperlink" xfId="226" builtinId="8" hidden="1"/>
    <cellStyle name="Hyperlink" xfId="1344" builtinId="8" hidden="1"/>
    <cellStyle name="Hyperlink" xfId="792" builtinId="8" hidden="1"/>
    <cellStyle name="Hyperlink" xfId="392" builtinId="8" hidden="1"/>
    <cellStyle name="Hyperlink" xfId="32" builtinId="8" hidden="1"/>
    <cellStyle name="Hyperlink" xfId="766" builtinId="8" hidden="1"/>
    <cellStyle name="Hyperlink" xfId="604" builtinId="8" hidden="1"/>
    <cellStyle name="Hyperlink" xfId="1192" builtinId="8" hidden="1"/>
    <cellStyle name="Hyperlink" xfId="830" builtinId="8" hidden="1"/>
    <cellStyle name="Hyperlink" xfId="496" builtinId="8" hidden="1"/>
    <cellStyle name="Hyperlink" xfId="82" builtinId="8" hidden="1"/>
    <cellStyle name="Hyperlink" xfId="1094" builtinId="8" hidden="1"/>
    <cellStyle name="Hyperlink" xfId="542" builtinId="8" hidden="1"/>
    <cellStyle name="Hyperlink" xfId="714" builtinId="8" hidden="1"/>
    <cellStyle name="Hyperlink" xfId="252" builtinId="8" hidden="1"/>
    <cellStyle name="Hyperlink" xfId="826" builtinId="8" hidden="1"/>
    <cellStyle name="Hyperlink" xfId="1072" builtinId="8" hidden="1"/>
    <cellStyle name="Hyperlink" xfId="1314" builtinId="8" hidden="1"/>
    <cellStyle name="Hyperlink" xfId="1142" builtinId="8" hidden="1"/>
    <cellStyle name="Hyperlink" xfId="1010" builtinId="8" hidden="1"/>
    <cellStyle name="Hyperlink" xfId="1216" builtinId="8" hidden="1"/>
    <cellStyle name="Hyperlink" xfId="1144" builtinId="8" hidden="1"/>
    <cellStyle name="Hyperlink" xfId="1252" builtinId="8" hidden="1"/>
    <cellStyle name="Hyperlink" xfId="202" builtinId="8" hidden="1"/>
    <cellStyle name="Hyperlink" xfId="1200" builtinId="8" hidden="1"/>
    <cellStyle name="Hyperlink" xfId="536" builtinId="8" hidden="1"/>
    <cellStyle name="Hyperlink" xfId="624" builtinId="8" hidden="1"/>
    <cellStyle name="Hyperlink" xfId="698" builtinId="8" hidden="1"/>
    <cellStyle name="Hyperlink" xfId="340" builtinId="8" hidden="1"/>
    <cellStyle name="Hyperlink" xfId="752" builtinId="8" hidden="1"/>
    <cellStyle name="Hyperlink" xfId="484" builtinId="8" hidden="1"/>
    <cellStyle name="Hyperlink" xfId="518" builtinId="8" hidden="1"/>
    <cellStyle name="Hyperlink" xfId="1218" builtinId="8" hidden="1"/>
    <cellStyle name="Hyperlink" xfId="840" builtinId="8" hidden="1"/>
    <cellStyle name="Hyperlink" xfId="774" builtinId="8" hidden="1"/>
    <cellStyle name="Hyperlink" xfId="2" builtinId="8" hidden="1"/>
    <cellStyle name="Hyperlink" xfId="26" builtinId="8" hidden="1"/>
    <cellStyle name="Hyperlink" xfId="696" builtinId="8" hidden="1"/>
    <cellStyle name="Hyperlink" xfId="628" builtinId="8" hidden="1"/>
    <cellStyle name="Hyperlink" xfId="1360" builtinId="8" hidden="1"/>
    <cellStyle name="Hyperlink" xfId="34" builtinId="8" hidden="1"/>
    <cellStyle name="Hyperlink" xfId="10" builtinId="8" hidden="1"/>
    <cellStyle name="Hyperlink" xfId="254" builtinId="8" hidden="1"/>
    <cellStyle name="Hyperlink" xfId="1020" builtinId="8" hidden="1"/>
    <cellStyle name="Hyperlink" xfId="712" builtinId="8" hidden="1"/>
    <cellStyle name="Hyperlink" xfId="1016" builtinId="8" hidden="1"/>
    <cellStyle name="Hyperlink" xfId="246" builtinId="8" hidden="1"/>
    <cellStyle name="Hyperlink" xfId="152" builtinId="8" hidden="1"/>
    <cellStyle name="Hyperlink" xfId="44" builtinId="8" hidden="1"/>
    <cellStyle name="Hyperlink" xfId="700" builtinId="8" hidden="1"/>
    <cellStyle name="Hyperlink" xfId="980" builtinId="8" hidden="1"/>
    <cellStyle name="Hyperlink" xfId="1302" builtinId="8" hidden="1"/>
    <cellStyle name="Hyperlink" xfId="836" builtinId="8" hidden="1"/>
    <cellStyle name="Hyperlink" xfId="14" builtinId="8" hidden="1"/>
    <cellStyle name="Hyperlink" xfId="424" builtinId="8" hidden="1"/>
    <cellStyle name="Hyperlink" xfId="478" builtinId="8" hidden="1"/>
    <cellStyle name="Hyperlink" xfId="312" builtinId="8" hidden="1"/>
    <cellStyle name="Hyperlink" xfId="490" builtinId="8" hidden="1"/>
    <cellStyle name="Hyperlink" xfId="20" builtinId="8" hidden="1"/>
    <cellStyle name="Hyperlink" xfId="298" builtinId="8" hidden="1"/>
    <cellStyle name="Hyperlink" xfId="1028" builtinId="8" hidden="1"/>
    <cellStyle name="Hyperlink" xfId="581" builtinId="8" hidden="1"/>
    <cellStyle name="Hyperlink" xfId="636" builtinId="8" hidden="1"/>
    <cellStyle name="Hyperlink" xfId="562" builtinId="8" hidden="1"/>
    <cellStyle name="Hyperlink" xfId="964" builtinId="8" hidden="1"/>
    <cellStyle name="Hyperlink" xfId="674" builtinId="8" hidden="1"/>
    <cellStyle name="Hyperlink" xfId="638" builtinId="8" hidden="1"/>
    <cellStyle name="Hyperlink" xfId="158" builtinId="8" hidden="1"/>
    <cellStyle name="Hyperlink" xfId="1374" builtinId="8" hidden="1"/>
    <cellStyle name="Hyperlink" xfId="595" builtinId="8" hidden="1"/>
    <cellStyle name="Hyperlink" xfId="528" builtinId="8" hidden="1"/>
    <cellStyle name="Hyperlink" xfId="1340" builtinId="8" hidden="1"/>
    <cellStyle name="Hyperlink" xfId="852" builtinId="8" hidden="1"/>
    <cellStyle name="Hyperlink" xfId="286" builtinId="8" hidden="1"/>
    <cellStyle name="Hyperlink" xfId="1174" builtinId="8" hidden="1"/>
    <cellStyle name="Hyperlink" xfId="192" builtinId="8" hidden="1"/>
    <cellStyle name="Hyperlink" xfId="450" builtinId="8" hidden="1"/>
    <cellStyle name="Hyperlink" xfId="682" builtinId="8" hidden="1"/>
    <cellStyle name="Hyperlink" xfId="428" builtinId="8" hidden="1"/>
    <cellStyle name="Hyperlink" xfId="270" builtinId="8" hidden="1"/>
    <cellStyle name="Hyperlink" xfId="1232" builtinId="8" hidden="1"/>
    <cellStyle name="Hyperlink" xfId="842" builtinId="8" hidden="1"/>
    <cellStyle name="Hyperlink" xfId="456" builtinId="8" hidden="1"/>
    <cellStyle name="Hyperlink" xfId="1166" builtinId="8" hidden="1"/>
    <cellStyle name="Hyperlink" xfId="950" builtinId="8" hidden="1"/>
    <cellStyle name="Hyperlink" xfId="720" builtinId="8" hidden="1"/>
    <cellStyle name="Hyperlink" xfId="474" builtinId="8" hidden="1"/>
    <cellStyle name="Hyperlink" xfId="228" builtinId="8" hidden="1"/>
    <cellStyle name="Hyperlink" xfId="1068" builtinId="8" hidden="1"/>
    <cellStyle name="Hyperlink" xfId="1066" builtinId="8" hidden="1"/>
    <cellStyle name="Hyperlink" xfId="868" builtinId="8" hidden="1"/>
    <cellStyle name="Hyperlink" xfId="1228" builtinId="8" hidden="1"/>
    <cellStyle name="Hyperlink" xfId="738" builtinId="8" hidden="1"/>
    <cellStyle name="Hyperlink" xfId="1118" builtinId="8" hidden="1"/>
    <cellStyle name="Hyperlink" xfId="1162" builtinId="8" hidden="1"/>
    <cellStyle name="Hyperlink" xfId="862" builtinId="8" hidden="1"/>
    <cellStyle name="Hyperlink" xfId="1110" builtinId="8" hidden="1"/>
    <cellStyle name="Hyperlink" xfId="672" builtinId="8" hidden="1"/>
    <cellStyle name="Hyperlink" xfId="448" builtinId="8" hidden="1"/>
    <cellStyle name="Hyperlink" xfId="70" builtinId="8" hidden="1"/>
    <cellStyle name="Hyperlink" xfId="396" builtinId="8" hidden="1"/>
    <cellStyle name="Hyperlink" xfId="880" builtinId="8" hidden="1"/>
    <cellStyle name="Hyperlink" xfId="212" builtinId="8" hidden="1"/>
    <cellStyle name="Hyperlink" xfId="828" builtinId="8" hidden="1"/>
    <cellStyle name="Hyperlink" xfId="978" builtinId="8" hidden="1"/>
    <cellStyle name="Hyperlink" xfId="1350" builtinId="8" hidden="1"/>
    <cellStyle name="Hyperlink" xfId="1330" builtinId="8" hidden="1"/>
    <cellStyle name="Hyperlink" xfId="236" builtinId="8" hidden="1"/>
    <cellStyle name="Hyperlink" xfId="276" builtinId="8" hidden="1"/>
    <cellStyle name="Hyperlink" xfId="278" builtinId="8" hidden="1"/>
    <cellStyle name="Hyperlink" xfId="818" builtinId="8" hidden="1"/>
    <cellStyle name="Hyperlink" xfId="332" builtinId="8" hidden="1"/>
    <cellStyle name="Hyperlink" xfId="1238" builtinId="8" hidden="1"/>
    <cellStyle name="Hyperlink" xfId="218" builtinId="8" hidden="1"/>
    <cellStyle name="Hyperlink" xfId="610" builtinId="8" hidden="1"/>
    <cellStyle name="Hyperlink" xfId="772" builtinId="8" hidden="1"/>
    <cellStyle name="Hyperlink" xfId="260" builtinId="8" hidden="1"/>
    <cellStyle name="Hyperlink" xfId="334" builtinId="8" hidden="1"/>
    <cellStyle name="Hyperlink" xfId="1352" builtinId="8" hidden="1"/>
    <cellStyle name="Hyperlink" xfId="380" builtinId="8" hidden="1"/>
    <cellStyle name="Hyperlink" xfId="870" builtinId="8" hidden="1"/>
    <cellStyle name="Hyperlink" xfId="156" builtinId="8" hidden="1"/>
    <cellStyle name="Hyperlink" xfId="460" builtinId="8" hidden="1"/>
    <cellStyle name="Hyperlink" xfId="1280" builtinId="8" hidden="1"/>
    <cellStyle name="Hyperlink" xfId="1182" builtinId="8" hidden="1"/>
    <cellStyle name="Hyperlink" xfId="172" builtinId="8" hidden="1"/>
    <cellStyle name="Hyperlink" xfId="1248" builtinId="8" hidden="1"/>
    <cellStyle name="Hyperlink" xfId="372" builtinId="8" hidden="1"/>
    <cellStyle name="Hyperlink" xfId="676" builtinId="8" hidden="1"/>
    <cellStyle name="Hyperlink" xfId="432" builtinId="8" hidden="1"/>
    <cellStyle name="Hyperlink" xfId="1212" builtinId="8" hidden="1"/>
    <cellStyle name="Hyperlink" xfId="934" builtinId="8" hidden="1"/>
    <cellStyle name="Hyperlink" xfId="690" builtinId="8" hidden="1"/>
    <cellStyle name="Hyperlink" xfId="402" builtinId="8" hidden="1"/>
    <cellStyle name="Hyperlink" xfId="134" builtinId="8" hidden="1"/>
    <cellStyle name="Hyperlink" xfId="66" builtinId="8" hidden="1"/>
    <cellStyle name="Hyperlink" xfId="1018" builtinId="8" hidden="1"/>
    <cellStyle name="Hyperlink" xfId="824" builtinId="8" hidden="1"/>
    <cellStyle name="Hyperlink" xfId="230" builtinId="8" hidden="1"/>
    <cellStyle name="Hyperlink" xfId="958" builtinId="8" hidden="1"/>
    <cellStyle name="Hyperlink" xfId="972" builtinId="8" hidden="1"/>
    <cellStyle name="Hyperlink" xfId="194" builtinId="8" hidden="1"/>
    <cellStyle name="Hyperlink" xfId="756" builtinId="8" hidden="1"/>
    <cellStyle name="Hyperlink" xfId="848" builtinId="8" hidden="1"/>
    <cellStyle name="Hyperlink" xfId="198" builtinId="8" hidden="1"/>
    <cellStyle name="Hyperlink" xfId="486" builtinId="8" hidden="1"/>
    <cellStyle name="Hyperlink" xfId="166" builtinId="8" hidden="1"/>
    <cellStyle name="Hyperlink" xfId="408" builtinId="8" hidden="1"/>
    <cellStyle name="Hyperlink" xfId="620" builtinId="8" hidden="1"/>
    <cellStyle name="Hyperlink" xfId="532" builtinId="8" hidden="1"/>
    <cellStyle name="Hyperlink" xfId="1338" builtinId="8" hidden="1"/>
    <cellStyle name="Hyperlink" xfId="1378" builtinId="8" hidden="1"/>
    <cellStyle name="Hyperlink" xfId="1012" builtinId="8" hidden="1"/>
    <cellStyle name="Hyperlink" xfId="1120" builtinId="8" hidden="1"/>
    <cellStyle name="Hyperlink" xfId="1222" builtinId="8" hidden="1"/>
    <cellStyle name="Hyperlink" xfId="922" builtinId="8" hidden="1"/>
    <cellStyle name="Hyperlink" xfId="956" builtinId="8" hidden="1"/>
    <cellStyle name="Hyperlink" xfId="502" builtinId="8" hidden="1"/>
    <cellStyle name="Hyperlink" xfId="176" builtinId="8" hidden="1"/>
    <cellStyle name="Hyperlink" xfId="666" builtinId="8" hidden="1"/>
    <cellStyle name="Hyperlink" xfId="1320" builtinId="8" hidden="1"/>
    <cellStyle name="Hyperlink" xfId="1076" builtinId="8" hidden="1"/>
    <cellStyle name="Hyperlink" xfId="492" builtinId="8" hidden="1"/>
    <cellStyle name="Hyperlink" xfId="1384" builtinId="8" hidden="1"/>
    <cellStyle name="Hyperlink" xfId="1202" builtinId="8" hidden="1"/>
    <cellStyle name="Hyperlink" xfId="1354" builtinId="8" hidden="1"/>
    <cellStyle name="Hyperlink" xfId="272" builtinId="8" hidden="1"/>
    <cellStyle name="Hyperlink" xfId="116" builtinId="8" hidden="1"/>
    <cellStyle name="Hyperlink" xfId="1258" builtinId="8" hidden="1"/>
    <cellStyle name="Hyperlink" xfId="650" builtinId="8" hidden="1"/>
    <cellStyle name="Hyperlink" xfId="552" builtinId="8" hidden="1"/>
    <cellStyle name="Hyperlink" xfId="1050" builtinId="8" hidden="1"/>
    <cellStyle name="Hyperlink" xfId="1234" builtinId="8" hidden="1"/>
    <cellStyle name="Hyperlink" xfId="914" builtinId="8" hidden="1"/>
    <cellStyle name="Hyperlink" xfId="1186" builtinId="8" hidden="1"/>
    <cellStyle name="Hyperlink" xfId="1152" builtinId="8" hidden="1"/>
    <cellStyle name="Hyperlink" xfId="1334" builtinId="8" hidden="1"/>
    <cellStyle name="Hyperlink" xfId="382" builtinId="8" hidden="1"/>
    <cellStyle name="Hyperlink" xfId="186" builtinId="8" hidden="1"/>
    <cellStyle name="Hyperlink" xfId="1140" builtinId="8" hidden="1"/>
    <cellStyle name="Hyperlink" xfId="124" builtinId="8" hidden="1"/>
    <cellStyle name="Hyperlink" xfId="54" builtinId="8" hidden="1"/>
    <cellStyle name="Hyperlink" xfId="1154" builtinId="8" hidden="1"/>
    <cellStyle name="Hyperlink" xfId="322" builtinId="8" hidden="1"/>
    <cellStyle name="Hyperlink" xfId="718" builtinId="8" hidden="1"/>
    <cellStyle name="Hyperlink" xfId="884" builtinId="8" hidden="1"/>
    <cellStyle name="Hyperlink" xfId="1370" builtinId="8" hidden="1"/>
    <cellStyle name="Hyperlink" xfId="1114" builtinId="8" hidden="1"/>
    <cellStyle name="Hyperlink" xfId="728" builtinId="8" hidden="1"/>
    <cellStyle name="Hyperlink" xfId="434" builtinId="8" hidden="1"/>
    <cellStyle name="Hyperlink" xfId="328" builtinId="8" hidden="1"/>
    <cellStyle name="Hyperlink" xfId="736" builtinId="8" hidden="1"/>
    <cellStyle name="Hyperlink" xfId="320" builtinId="8" hidden="1"/>
    <cellStyle name="Hyperlink" xfId="938" builtinId="8" hidden="1"/>
    <cellStyle name="Hyperlink" xfId="928" builtinId="8" hidden="1"/>
    <cellStyle name="Hyperlink" xfId="1270" builtinId="8" hidden="1"/>
    <cellStyle name="Hyperlink" xfId="788" builtinId="8" hidden="1"/>
    <cellStyle name="Hyperlink" xfId="1194" builtinId="8" hidden="1"/>
    <cellStyle name="Hyperlink" xfId="62" builtinId="8" hidden="1"/>
    <cellStyle name="Hyperlink" xfId="68" builtinId="8" hidden="1"/>
    <cellStyle name="Hyperlink" xfId="494" builtinId="8" hidden="1"/>
    <cellStyle name="Hyperlink" xfId="798" builtinId="8" hidden="1"/>
    <cellStyle name="Hyperlink" xfId="734" builtinId="8" hidden="1"/>
    <cellStyle name="Hyperlink" xfId="1176" builtinId="8" hidden="1"/>
    <cellStyle name="Hyperlink" xfId="480" builtinId="8" hidden="1"/>
    <cellStyle name="Hyperlink" xfId="462" builtinId="8" hidden="1"/>
    <cellStyle name="Hyperlink" xfId="1100" builtinId="8" hidden="1"/>
    <cellStyle name="Hyperlink" xfId="992" builtinId="8" hidden="1"/>
    <cellStyle name="Hyperlink" xfId="1008" builtinId="8" hidden="1"/>
    <cellStyle name="Hyperlink" xfId="1116" builtinId="8" hidden="1"/>
    <cellStyle name="Hyperlink" xfId="316" builtinId="8" hidden="1"/>
    <cellStyle name="Hyperlink" xfId="240" builtinId="8" hidden="1"/>
    <cellStyle name="Hyperlink" xfId="304" builtinId="8" hidden="1"/>
    <cellStyle name="Hyperlink" xfId="684" builtinId="8" hidden="1"/>
    <cellStyle name="Hyperlink" xfId="1382" builtinId="8" hidden="1"/>
    <cellStyle name="Hyperlink" xfId="296" builtinId="8" hidden="1"/>
    <cellStyle name="Hyperlink" xfId="806" builtinId="8" hidden="1"/>
    <cellStyle name="Hyperlink" xfId="960" builtinId="8" hidden="1"/>
    <cellStyle name="Hyperlink" xfId="1138" builtinId="8" hidden="1"/>
    <cellStyle name="Hyperlink" xfId="822" builtinId="8" hidden="1"/>
    <cellStyle name="Hyperlink" xfId="1316" builtinId="8" hidden="1"/>
    <cellStyle name="Hyperlink" xfId="1014" builtinId="8" hidden="1"/>
    <cellStyle name="Hyperlink" xfId="998" builtinId="8" hidden="1"/>
    <cellStyle name="Hyperlink" xfId="106" builtinId="8" hidden="1"/>
    <cellStyle name="Hyperlink" xfId="778" builtinId="8" hidden="1"/>
    <cellStyle name="Hyperlink" xfId="704" builtinId="8" hidden="1"/>
    <cellStyle name="Hyperlink" xfId="142" builtinId="8" hidden="1"/>
    <cellStyle name="Hyperlink" xfId="364" builtinId="8" hidden="1"/>
    <cellStyle name="Hyperlink" xfId="274" builtinId="8" hidden="1"/>
    <cellStyle name="Hyperlink" xfId="688" builtinId="8" hidden="1"/>
    <cellStyle name="Hyperlink" xfId="4" builtinId="8" hidden="1"/>
    <cellStyle name="Hyperlink" xfId="820" builtinId="8" hidden="1"/>
    <cellStyle name="Hyperlink" xfId="790" builtinId="8" hidden="1"/>
    <cellStyle name="Hyperlink" xfId="1038" builtinId="8" hidden="1"/>
    <cellStyle name="Hyperlink" xfId="16" builtinId="8" hidden="1"/>
    <cellStyle name="Hyperlink" xfId="968" builtinId="8" hidden="1"/>
    <cellStyle name="Hyperlink" xfId="612" builtinId="8" hidden="1"/>
    <cellStyle name="Hyperlink" xfId="722" builtinId="8" hidden="1"/>
    <cellStyle name="Hyperlink" xfId="300" builtinId="8" hidden="1"/>
    <cellStyle name="Hyperlink" xfId="154" builtinId="8" hidden="1"/>
    <cellStyle name="Hyperlink" xfId="464" builtinId="8" hidden="1"/>
    <cellStyle name="Hyperlink" xfId="58" builtinId="8" hidden="1"/>
    <cellStyle name="Hyperlink" xfId="1184" builtinId="8" hidden="1"/>
    <cellStyle name="Hyperlink" xfId="1052" builtinId="8" hidden="1"/>
    <cellStyle name="Hyperlink" xfId="92" builtinId="8" hidden="1"/>
    <cellStyle name="Hyperlink" xfId="1268" builtinId="8" hidden="1"/>
    <cellStyle name="Hyperlink" xfId="482" builtinId="8" hidden="1"/>
    <cellStyle name="Hyperlink" xfId="1328" builtinId="8" hidden="1"/>
    <cellStyle name="Hyperlink" xfId="1288" builtinId="8" hidden="1"/>
    <cellStyle name="Hyperlink" xfId="52" builtinId="8" hidden="1"/>
    <cellStyle name="Hyperlink" xfId="770" builtinId="8" hidden="1"/>
    <cellStyle name="Hyperlink" xfId="422" builtinId="8" hidden="1"/>
    <cellStyle name="Hyperlink" xfId="1158" builtinId="8" hidden="1"/>
    <cellStyle name="Hyperlink" xfId="250" builtinId="8" hidden="1"/>
    <cellStyle name="Hyperlink" xfId="760" builtinId="8" hidden="1"/>
    <cellStyle name="Hyperlink" xfId="746" builtinId="8" hidden="1"/>
    <cellStyle name="Hyperlink" xfId="632" builtinId="8" hidden="1"/>
    <cellStyle name="Hyperlink" xfId="60" builtinId="8" hidden="1"/>
    <cellStyle name="Hyperlink" xfId="678" builtinId="8" hidden="1"/>
    <cellStyle name="Hyperlink" xfId="710" builtinId="8" hidden="1"/>
    <cellStyle name="Hyperlink" xfId="1104" builtinId="8" hidden="1"/>
    <cellStyle name="Hyperlink" xfId="1188" builtinId="8" hidden="1"/>
    <cellStyle name="Hyperlink" xfId="658" builtinId="8" hidden="1"/>
    <cellStyle name="Hyperlink" xfId="414" builtinId="8" hidden="1"/>
    <cellStyle name="Hyperlink" xfId="1214" builtinId="8" hidden="1"/>
    <cellStyle name="Hyperlink" xfId="1298" builtinId="8" hidden="1"/>
    <cellStyle name="Hyperlink" xfId="350" builtinId="8" hidden="1"/>
    <cellStyle name="Hyperlink" xfId="1278" builtinId="8" hidden="1"/>
    <cellStyle name="Hyperlink" xfId="344" builtinId="8" hidden="1"/>
    <cellStyle name="Hyperlink" xfId="470" builtinId="8" hidden="1"/>
    <cellStyle name="Hyperlink" xfId="1230" builtinId="8" hidden="1"/>
    <cellStyle name="Hyperlink" xfId="180" builtinId="8" hidden="1"/>
    <cellStyle name="Hyperlink" xfId="834" builtinId="8" hidden="1"/>
    <cellStyle name="Hyperlink" xfId="566" builtinId="8" hidden="1"/>
    <cellStyle name="Hyperlink" xfId="1080" builtinId="8" hidden="1"/>
    <cellStyle name="Hyperlink" xfId="30" builtinId="8" hidden="1"/>
    <cellStyle name="Hyperlink" xfId="706" builtinId="8" hidden="1"/>
    <cellStyle name="Hyperlink" xfId="208" builtinId="8" hidden="1"/>
    <cellStyle name="Hyperlink" xfId="84" builtinId="8" hidden="1"/>
    <cellStyle name="Hyperlink" xfId="1220" builtinId="8" hidden="1"/>
    <cellStyle name="Hyperlink" xfId="1366" builtinId="8" hidden="1"/>
    <cellStyle name="Hyperlink" xfId="284" builtinId="8" hidden="1"/>
    <cellStyle name="Hyperlink" xfId="664" builtinId="8" hidden="1"/>
    <cellStyle name="Hyperlink" xfId="910" builtinId="8" hidden="1"/>
    <cellStyle name="Hyperlink" xfId="244" builtinId="8" hidden="1"/>
    <cellStyle name="Hyperlink" xfId="1190" builtinId="8" hidden="1"/>
    <cellStyle name="Hyperlink" xfId="1282" builtinId="8" hidden="1"/>
    <cellStyle name="Hyperlink" xfId="838" builtinId="8" hidden="1"/>
    <cellStyle name="Hyperlink" xfId="336" builtinId="8" hidden="1"/>
    <cellStyle name="Hyperlink" xfId="984" builtinId="8" hidden="1"/>
    <cellStyle name="Hyperlink" xfId="430" builtinId="8" hidden="1"/>
    <cellStyle name="Hyperlink" xfId="1274" builtinId="8" hidden="1"/>
    <cellStyle name="Hyperlink" xfId="724" builtinId="8" hidden="1"/>
    <cellStyle name="Hyperlink" xfId="418" builtinId="8" hidden="1"/>
    <cellStyle name="Hyperlink" xfId="164" builtinId="8" hidden="1"/>
    <cellStyle name="Hyperlink" xfId="616" builtinId="8" hidden="1"/>
    <cellStyle name="Hyperlink" xfId="896" builtinId="8" hidden="1"/>
    <cellStyle name="Hyperlink" xfId="376" builtinId="8" hidden="1"/>
    <cellStyle name="Hyperlink" xfId="1318" builtinId="8" hidden="1"/>
    <cellStyle name="Hyperlink" xfId="570" builtinId="8" hidden="1"/>
    <cellStyle name="Hyperlink" xfId="232" builtinId="8" hidden="1"/>
    <cellStyle name="Hyperlink" xfId="1386" builtinId="8" hidden="1"/>
    <cellStyle name="Hyperlink" xfId="652" builtinId="8" hidden="1"/>
    <cellStyle name="Hyperlink" xfId="540" builtinId="8" hidden="1"/>
    <cellStyle name="Hyperlink" xfId="412" builtinId="8" hidden="1"/>
    <cellStyle name="Hyperlink" xfId="348" builtinId="8" hidden="1"/>
    <cellStyle name="Hyperlink" xfId="732" builtinId="8" hidden="1"/>
    <cellStyle name="Hyperlink" xfId="90" builtinId="8" hidden="1"/>
    <cellStyle name="Hyperlink" xfId="916" builtinId="8" hidden="1"/>
    <cellStyle name="Hyperlink" xfId="468" builtinId="8" hidden="1"/>
    <cellStyle name="Hyperlink" xfId="583" builtinId="8" hidden="1"/>
    <cellStyle name="Hyperlink" xfId="1196" builtinId="8" hidden="1"/>
    <cellStyle name="Hyperlink" xfId="1036" builtinId="8" hidden="1"/>
    <cellStyle name="Hyperlink" xfId="780" builtinId="8" hidden="1"/>
    <cellStyle name="Hyperlink" xfId="634" builtinId="8" hidden="1"/>
    <cellStyle name="Hyperlink" xfId="1032" builtinId="8" hidden="1"/>
    <cellStyle name="Hyperlink" xfId="1198" builtinId="8" hidden="1"/>
    <cellStyle name="Hyperlink" xfId="1380" builtinId="8" hidden="1"/>
    <cellStyle name="Hyperlink" xfId="1170" builtinId="8" hidden="1"/>
    <cellStyle name="Hyperlink" xfId="544" builtinId="8" hidden="1"/>
    <cellStyle name="Hyperlink" xfId="966" builtinId="8" hidden="1"/>
    <cellStyle name="Hyperlink" xfId="1062" builtinId="8" hidden="1"/>
    <cellStyle name="Hyperlink" xfId="906" builtinId="8" hidden="1"/>
    <cellStyle name="Hyperlink" xfId="872" builtinId="8" hidden="1"/>
    <cellStyle name="Hyperlink" xfId="472" builtinId="8" hidden="1"/>
    <cellStyle name="Hyperlink" xfId="1122" builtinId="8" hidden="1"/>
    <cellStyle name="Hyperlink" xfId="42" builtinId="8" hidden="1"/>
    <cellStyle name="Hyperlink" xfId="174" builtinId="8" hidden="1"/>
    <cellStyle name="Hyperlink" xfId="912" builtinId="8" hidden="1"/>
    <cellStyle name="Hyperlink" xfId="670" builtinId="8" hidden="1"/>
    <cellStyle name="Hyperlink" xfId="1126" builtinId="8" hidden="1"/>
    <cellStyle name="Hyperlink" xfId="406" builtinId="8" hidden="1"/>
    <cellStyle name="Hyperlink" xfId="476" builtinId="8" hidden="1"/>
    <cellStyle name="Hyperlink" xfId="1290" builtinId="8" hidden="1"/>
    <cellStyle name="Hyperlink" xfId="444" builtinId="8" hidden="1"/>
    <cellStyle name="Hyperlink" xfId="764" builtinId="8" hidden="1"/>
    <cellStyle name="Hyperlink" xfId="742" builtinId="8" hidden="1"/>
    <cellStyle name="Hyperlink" xfId="38" builtinId="8" hidden="1"/>
    <cellStyle name="Hyperlink" xfId="1284" builtinId="8" hidden="1"/>
    <cellStyle name="Hyperlink" xfId="1246" builtinId="8" hidden="1"/>
    <cellStyle name="Hyperlink" xfId="591" builtinId="8" hidden="1"/>
    <cellStyle name="Hyperlink" xfId="94" builtinId="8" hidden="1"/>
    <cellStyle name="Hyperlink" xfId="136" builtinId="8" hidden="1"/>
    <cellStyle name="Hyperlink" xfId="466" builtinId="8" hidden="1"/>
    <cellStyle name="Hyperlink" xfId="248" builtinId="8" hidden="1"/>
    <cellStyle name="Hyperlink" xfId="940" builtinId="8" hidden="1"/>
    <cellStyle name="Hyperlink" xfId="558" builtinId="8" hidden="1"/>
    <cellStyle name="Hyperlink" xfId="1244" builtinId="8" hidden="1"/>
    <cellStyle name="Hyperlink" xfId="1362" builtinId="8" hidden="1"/>
    <cellStyle name="Hyperlink" xfId="378" builtinId="8" hidden="1"/>
    <cellStyle name="Hyperlink" xfId="626" builtinId="8" hidden="1"/>
    <cellStyle name="Hyperlink" xfId="904" builtinId="8" hidden="1"/>
    <cellStyle name="Hyperlink" xfId="550" builtinId="8" hidden="1"/>
    <cellStyle name="Hyperlink" xfId="892" builtinId="8" hidden="1"/>
    <cellStyle name="Hyperlink" xfId="18" builtinId="8" hidden="1"/>
    <cellStyle name="Hyperlink" xfId="238" builtinId="8" hidden="1"/>
    <cellStyle name="Hyperlink" xfId="268" builtinId="8" hidden="1"/>
    <cellStyle name="Hyperlink" xfId="216" builtinId="8" hidden="1"/>
    <cellStyle name="Normal" xfId="0" builtinId="0"/>
  </cellStyles>
  <dxfs count="16455">
    <dxf>
      <font>
        <color rgb="FFFFFF00"/>
      </font>
    </dxf>
    <dxf>
      <font>
        <color rgb="FFFFFF00"/>
      </font>
    </dxf>
    <dxf>
      <font>
        <color theme="9" tint="0.79998168889431442"/>
      </font>
      <fill>
        <patternFill patternType="solid">
          <fgColor indexed="64"/>
          <bgColor theme="9" tint="0.79998168889431442"/>
        </patternFill>
      </fill>
    </dxf>
    <dxf>
      <font>
        <color rgb="FF002060"/>
      </font>
      <fill>
        <patternFill>
          <bgColor rgb="FFFFFF00"/>
        </patternFill>
      </fill>
    </dxf>
    <dxf>
      <font>
        <b/>
        <i val="0"/>
        <strike val="0"/>
        <u val="double"/>
        <color rgb="FFFF0000"/>
      </font>
      <fill>
        <patternFill patternType="solid">
          <fgColor auto="1"/>
          <bgColor theme="5" tint="0.79998168889431442"/>
        </patternFill>
      </fill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strike val="0"/>
        <u val="double"/>
        <color rgb="FFFF0000"/>
      </font>
      <fill>
        <patternFill patternType="solid">
          <fgColor auto="1"/>
          <bgColor theme="5" tint="0.79998168889431442"/>
        </patternFill>
      </fill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 val="0"/>
        <i val="0"/>
        <color auto="1"/>
      </font>
      <fill>
        <patternFill patternType="solid">
          <fgColor indexed="64"/>
          <bgColor rgb="FFFDE2C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0" tint="-0.14999847407452621"/>
      </font>
      <fill>
        <patternFill patternType="solid">
          <fgColor indexed="64"/>
          <bgColor theme="0" tint="-0.14999847407452621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4"/>
        </patternFill>
      </fill>
    </dxf>
    <dxf>
      <fill>
        <patternFill>
          <bgColor rgb="FFFFFF99"/>
        </patternFill>
      </fill>
    </dxf>
    <dxf>
      <fill>
        <patternFill>
          <bgColor rgb="FF85FFBC"/>
        </patternFill>
      </fill>
    </dxf>
    <dxf>
      <fill>
        <patternFill>
          <bgColor rgb="FF5DD5FF"/>
        </patternFill>
      </fill>
    </dxf>
    <dxf>
      <fill>
        <patternFill>
          <bgColor rgb="FFBC8FDD"/>
        </patternFill>
      </fill>
    </dxf>
    <dxf>
      <fill>
        <patternFill>
          <bgColor rgb="FFFF6D6D"/>
        </patternFill>
      </fill>
    </dxf>
    <dxf>
      <fill>
        <patternFill>
          <bgColor theme="9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rgb="FF00B050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rgb="FFCCFFCC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theme="5" tint="0.7999816888943144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ill>
        <patternFill>
          <bgColor rgb="FF92D05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C0E399"/>
        </patternFill>
      </fill>
    </dxf>
    <dxf>
      <font>
        <color rgb="FFC0E399"/>
      </font>
    </dxf>
    <dxf>
      <fill>
        <patternFill>
          <bgColor theme="5" tint="0.79998168889431442"/>
        </patternFill>
      </fill>
    </dxf>
    <dxf>
      <font>
        <b/>
        <i val="0"/>
        <strike val="0"/>
        <color rgb="FFFF0000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EB9C"/>
        </patternFill>
      </fill>
    </dxf>
    <dxf>
      <font>
        <color auto="1"/>
      </font>
      <fill>
        <patternFill>
          <bgColor rgb="FFC6EFCE"/>
        </patternFill>
      </fill>
    </dxf>
    <dxf>
      <font>
        <color theme="6" tint="0.39994506668294322"/>
      </font>
      <fill>
        <patternFill>
          <bgColor theme="6" tint="0.39994506668294322"/>
        </patternFill>
      </fill>
    </dxf>
  </dxfs>
  <tableStyles count="0" defaultTableStyle="TableStyleMedium9" defaultPivotStyle="PivotStyleLight16"/>
  <colors>
    <mruColors>
      <color rgb="FFA9EE64"/>
      <color rgb="FFF8F6A8"/>
      <color rgb="FF16293F"/>
      <color rgb="FF005CA0"/>
      <color rgb="FFFFBE16"/>
      <color rgb="FF174D12"/>
      <color rgb="FFF4DCFF"/>
      <color rgb="FF2A3416"/>
      <color rgb="FF5EA814"/>
      <color rgb="FFC708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image" Target="../media/image16.jpe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6.jpe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1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image" Target="../media/image16.jpe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image" Target="../media/image16.jpe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6.xml"/><Relationship Id="rId1" Type="http://schemas.openxmlformats.org/officeDocument/2006/relationships/image" Target="../media/image16.jpe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8.xml"/><Relationship Id="rId1" Type="http://schemas.openxmlformats.org/officeDocument/2006/relationships/image" Target="../media/image16.jpe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0.xml"/><Relationship Id="rId1" Type="http://schemas.openxmlformats.org/officeDocument/2006/relationships/image" Target="../media/image16.jpe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2.xml"/><Relationship Id="rId1" Type="http://schemas.openxmlformats.org/officeDocument/2006/relationships/image" Target="../media/image16.jpe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4.xml"/><Relationship Id="rId1" Type="http://schemas.openxmlformats.org/officeDocument/2006/relationships/image" Target="../media/image16.jpe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3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6.xml"/><Relationship Id="rId1" Type="http://schemas.openxmlformats.org/officeDocument/2006/relationships/image" Target="../media/image16.jpeg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6.jpe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image" Target="../media/image16.jpe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jpeg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image" Target="../media/image16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53442453027596"/>
          <c:y val="0.16131858387775158"/>
          <c:w val="0.81297629359637558"/>
          <c:h val="0.63992517184475695"/>
        </c:manualLayout>
      </c:layout>
      <c:barChart>
        <c:barDir val="col"/>
        <c:grouping val="clustered"/>
        <c:varyColors val="0"/>
        <c:ser>
          <c:idx val="4"/>
          <c:order val="1"/>
          <c:tx>
            <c:strRef>
              <c:f>'MY STATS'!$AZ$36</c:f>
              <c:strCache>
                <c:ptCount val="1"/>
                <c:pt idx="0">
                  <c:v>average speed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noFill/>
            </a:ln>
            <a:effectLst/>
          </c:spPr>
          <c:invertIfNegative val="0"/>
          <c:cat>
            <c:strRef>
              <c:f>'MY STATS'!$BA$31:$BG$31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'MY STATS'!$BA$36:$BG$36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83-9044-8092-709748E51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87024304"/>
        <c:axId val="1416169600"/>
      </c:barChart>
      <c:barChart>
        <c:barDir val="col"/>
        <c:grouping val="clustered"/>
        <c:varyColors val="0"/>
        <c:ser>
          <c:idx val="2"/>
          <c:order val="0"/>
          <c:tx>
            <c:strRef>
              <c:f>'MY STATS'!$AZ$34</c:f>
              <c:strCache>
                <c:ptCount val="1"/>
                <c:pt idx="0">
                  <c:v>no. of swims</c:v>
                </c:pt>
              </c:strCache>
            </c:strRef>
          </c:tx>
          <c:spPr>
            <a:solidFill>
              <a:srgbClr val="C00000">
                <a:alpha val="0"/>
              </a:srgbClr>
            </a:solidFill>
            <a:ln>
              <a:noFill/>
            </a:ln>
            <a:effectLst/>
          </c:spPr>
          <c:invertIfNegative val="0"/>
          <c:dLbls>
            <c:spPr>
              <a:solidFill>
                <a:srgbClr val="002B82"/>
              </a:solidFill>
              <a:ln>
                <a:solidFill>
                  <a:srgbClr val="FFFF00"/>
                </a:solidFill>
              </a:ln>
              <a:effectLst/>
            </c:spPr>
            <c:txPr>
              <a:bodyPr rot="0" spcFirstLastPara="1" vertOverflow="ellipsis" vert="horz" wrap="square" lIns="36000" tIns="0" rIns="3600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'MY STATS'!$BA$31:$BG$31</c:f>
              <c:strCache>
                <c:ptCount val="7"/>
                <c:pt idx="0">
                  <c:v>Mon</c:v>
                </c:pt>
                <c:pt idx="1">
                  <c:v>Tue</c:v>
                </c:pt>
                <c:pt idx="2">
                  <c:v>Wed</c:v>
                </c:pt>
                <c:pt idx="3">
                  <c:v>Thu</c:v>
                </c:pt>
                <c:pt idx="4">
                  <c:v>Fri</c:v>
                </c:pt>
                <c:pt idx="5">
                  <c:v>Sat</c:v>
                </c:pt>
                <c:pt idx="6">
                  <c:v>Sun</c:v>
                </c:pt>
              </c:strCache>
            </c:strRef>
          </c:cat>
          <c:val>
            <c:numRef>
              <c:f>'MY STATS'!$BA$34:$BG$34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83-9044-8092-709748E519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axId val="1416320896"/>
        <c:axId val="1415980896"/>
      </c:barChart>
      <c:catAx>
        <c:axId val="1387024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416169600"/>
        <c:crosses val="autoZero"/>
        <c:auto val="1"/>
        <c:lblAlgn val="ctr"/>
        <c:lblOffset val="100"/>
        <c:noMultiLvlLbl val="0"/>
      </c:catAx>
      <c:valAx>
        <c:axId val="141616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89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2A3416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7024304"/>
        <c:crosses val="autoZero"/>
        <c:crossBetween val="between"/>
        <c:majorUnit val="0.5"/>
        <c:minorUnit val="0.1"/>
      </c:valAx>
      <c:valAx>
        <c:axId val="14159808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2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6320896"/>
        <c:crosses val="max"/>
        <c:crossBetween val="between"/>
      </c:valAx>
      <c:catAx>
        <c:axId val="1416320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598089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tx2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2"/>
      <a:tile tx="0" ty="0" sx="100000" sy="100000" flip="none" algn="tl"/>
    </a:blipFill>
    <a:ln w="38100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7-4E49-84BF-DD3F46778648}"/>
            </c:ext>
          </c:extLst>
        </c:ser>
        <c:ser>
          <c:idx val="1"/>
          <c:order val="1"/>
          <c:tx>
            <c:strRef>
              <c:f>FEB!$O$54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7-4E49-84BF-DD3F46778648}"/>
            </c:ext>
          </c:extLst>
        </c:ser>
        <c:ser>
          <c:idx val="2"/>
          <c:order val="2"/>
          <c:tx>
            <c:strRef>
              <c:f>FEB!$O$55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27-4E49-84BF-DD3F46778648}"/>
            </c:ext>
          </c:extLst>
        </c:ser>
        <c:ser>
          <c:idx val="4"/>
          <c:order val="3"/>
          <c:tx>
            <c:strRef>
              <c:f>FEB!$O$56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8627-4E49-84BF-DD3F46778648}"/>
            </c:ext>
          </c:extLst>
        </c:ser>
        <c:ser>
          <c:idx val="6"/>
          <c:order val="4"/>
          <c:tx>
            <c:strRef>
              <c:f>FEB!$O$59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FEB!$P$52:$V$52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FEB!$P$59:$V$59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27-4E49-84BF-DD3F46778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71584"/>
        <c:axId val="66373120"/>
      </c:barChart>
      <c:catAx>
        <c:axId val="6637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66373120"/>
        <c:crosses val="autoZero"/>
        <c:auto val="0"/>
        <c:lblAlgn val="ctr"/>
        <c:lblOffset val="100"/>
        <c:noMultiLvlLbl val="0"/>
      </c:catAx>
      <c:valAx>
        <c:axId val="66373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6371584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6.2716070365870513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total</a:t>
            </a:r>
          </a:p>
        </c:rich>
      </c:tx>
      <c:layout>
        <c:manualLayout>
          <c:xMode val="edge"/>
          <c:yMode val="edge"/>
          <c:x val="0.12234603357735493"/>
          <c:y val="0.2561214575941159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63732210231157"/>
          <c:y val="6.7325495074184449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MAR!$C$4:$C$47</c:f>
              <c:numCache>
                <c:formatCode>d;@</c:formatCode>
                <c:ptCount val="44"/>
                <c:pt idx="0">
                  <c:v>45347</c:v>
                </c:pt>
                <c:pt idx="1">
                  <c:v>45348</c:v>
                </c:pt>
                <c:pt idx="2">
                  <c:v>45349</c:v>
                </c:pt>
                <c:pt idx="3">
                  <c:v>45350</c:v>
                </c:pt>
                <c:pt idx="4">
                  <c:v>45351</c:v>
                </c:pt>
                <c:pt idx="5">
                  <c:v>45352</c:v>
                </c:pt>
                <c:pt idx="6">
                  <c:v>45353</c:v>
                </c:pt>
                <c:pt idx="7">
                  <c:v>45354</c:v>
                </c:pt>
                <c:pt idx="10">
                  <c:v>45355</c:v>
                </c:pt>
                <c:pt idx="11">
                  <c:v>45356</c:v>
                </c:pt>
                <c:pt idx="12">
                  <c:v>45357</c:v>
                </c:pt>
                <c:pt idx="13">
                  <c:v>45358</c:v>
                </c:pt>
                <c:pt idx="14">
                  <c:v>45359</c:v>
                </c:pt>
                <c:pt idx="15">
                  <c:v>45360</c:v>
                </c:pt>
                <c:pt idx="16">
                  <c:v>45361</c:v>
                </c:pt>
                <c:pt idx="19">
                  <c:v>45362</c:v>
                </c:pt>
                <c:pt idx="20">
                  <c:v>45363</c:v>
                </c:pt>
                <c:pt idx="21">
                  <c:v>45364</c:v>
                </c:pt>
                <c:pt idx="22">
                  <c:v>45365</c:v>
                </c:pt>
                <c:pt idx="23">
                  <c:v>45366</c:v>
                </c:pt>
                <c:pt idx="24">
                  <c:v>45367</c:v>
                </c:pt>
                <c:pt idx="25">
                  <c:v>45368</c:v>
                </c:pt>
                <c:pt idx="28">
                  <c:v>45369</c:v>
                </c:pt>
                <c:pt idx="29">
                  <c:v>45370</c:v>
                </c:pt>
                <c:pt idx="30">
                  <c:v>45371</c:v>
                </c:pt>
                <c:pt idx="31">
                  <c:v>45372</c:v>
                </c:pt>
                <c:pt idx="32">
                  <c:v>45373</c:v>
                </c:pt>
                <c:pt idx="33">
                  <c:v>45374</c:v>
                </c:pt>
                <c:pt idx="34">
                  <c:v>45375</c:v>
                </c:pt>
                <c:pt idx="37">
                  <c:v>45376</c:v>
                </c:pt>
                <c:pt idx="38">
                  <c:v>45377</c:v>
                </c:pt>
                <c:pt idx="39">
                  <c:v>45378</c:v>
                </c:pt>
                <c:pt idx="40">
                  <c:v>45379</c:v>
                </c:pt>
                <c:pt idx="41">
                  <c:v>45380</c:v>
                </c:pt>
                <c:pt idx="42">
                  <c:v>45381</c:v>
                </c:pt>
                <c:pt idx="43">
                  <c:v>45382</c:v>
                </c:pt>
              </c:numCache>
            </c:numRef>
          </c:cat>
          <c:val>
            <c:numRef>
              <c:f>MAR!$Q$3:$Q$47</c:f>
              <c:numCache>
                <c:formatCode>#,##0.0</c:formatCode>
                <c:ptCount val="44"/>
                <c:pt idx="0">
                  <c:v>41574.659995171969</c:v>
                </c:pt>
                <c:pt idx="1">
                  <c:v>41574.659995171969</c:v>
                </c:pt>
                <c:pt idx="2">
                  <c:v>41574.659995171969</c:v>
                </c:pt>
                <c:pt idx="3">
                  <c:v>41574.659995171969</c:v>
                </c:pt>
                <c:pt idx="4">
                  <c:v>41574.659995171969</c:v>
                </c:pt>
                <c:pt idx="5">
                  <c:v>41574.659995171969</c:v>
                </c:pt>
                <c:pt idx="6">
                  <c:v>41574.659995171969</c:v>
                </c:pt>
                <c:pt idx="7">
                  <c:v>41574.659995171969</c:v>
                </c:pt>
                <c:pt idx="8">
                  <c:v>0</c:v>
                </c:pt>
                <c:pt idx="9">
                  <c:v>0</c:v>
                </c:pt>
                <c:pt idx="10">
                  <c:v>41574.659995171969</c:v>
                </c:pt>
                <c:pt idx="11">
                  <c:v>41574.659995171969</c:v>
                </c:pt>
                <c:pt idx="12">
                  <c:v>41574.659995171969</c:v>
                </c:pt>
                <c:pt idx="13">
                  <c:v>41574.659995171969</c:v>
                </c:pt>
                <c:pt idx="14">
                  <c:v>41574.659995171969</c:v>
                </c:pt>
                <c:pt idx="15">
                  <c:v>41574.659995171969</c:v>
                </c:pt>
                <c:pt idx="16">
                  <c:v>41574.659995171969</c:v>
                </c:pt>
                <c:pt idx="17">
                  <c:v>0</c:v>
                </c:pt>
                <c:pt idx="18">
                  <c:v>0</c:v>
                </c:pt>
                <c:pt idx="19">
                  <c:v>41574.659995171969</c:v>
                </c:pt>
                <c:pt idx="20">
                  <c:v>41574.659995171969</c:v>
                </c:pt>
                <c:pt idx="21">
                  <c:v>41574.659995171969</c:v>
                </c:pt>
                <c:pt idx="22">
                  <c:v>41574.659995171969</c:v>
                </c:pt>
                <c:pt idx="23">
                  <c:v>41574.659995171969</c:v>
                </c:pt>
                <c:pt idx="24">
                  <c:v>41574.659995171969</c:v>
                </c:pt>
                <c:pt idx="25">
                  <c:v>41574.659995171969</c:v>
                </c:pt>
                <c:pt idx="26">
                  <c:v>0</c:v>
                </c:pt>
                <c:pt idx="27">
                  <c:v>0</c:v>
                </c:pt>
                <c:pt idx="28">
                  <c:v>41574.659995171969</c:v>
                </c:pt>
                <c:pt idx="29">
                  <c:v>41574.659995171969</c:v>
                </c:pt>
                <c:pt idx="30">
                  <c:v>41574.659995171969</c:v>
                </c:pt>
                <c:pt idx="31">
                  <c:v>41574.659995171969</c:v>
                </c:pt>
                <c:pt idx="32">
                  <c:v>41574.659995171969</c:v>
                </c:pt>
                <c:pt idx="33">
                  <c:v>41574.659995171969</c:v>
                </c:pt>
                <c:pt idx="34">
                  <c:v>41574.659995171969</c:v>
                </c:pt>
                <c:pt idx="35">
                  <c:v>0</c:v>
                </c:pt>
                <c:pt idx="36">
                  <c:v>0</c:v>
                </c:pt>
                <c:pt idx="37">
                  <c:v>41574.659995171969</c:v>
                </c:pt>
                <c:pt idx="38">
                  <c:v>41574.659995171969</c:v>
                </c:pt>
                <c:pt idx="39">
                  <c:v>41574.659995171969</c:v>
                </c:pt>
                <c:pt idx="40">
                  <c:v>41574.659995171969</c:v>
                </c:pt>
                <c:pt idx="41">
                  <c:v>41574.659995171969</c:v>
                </c:pt>
                <c:pt idx="42">
                  <c:v>41574.659995171969</c:v>
                </c:pt>
                <c:pt idx="43">
                  <c:v>41574.659995171969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CD-CC4B-977B-046BBEF3C469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MAR!$C$4:$C$47</c:f>
              <c:numCache>
                <c:formatCode>d;@</c:formatCode>
                <c:ptCount val="44"/>
                <c:pt idx="0">
                  <c:v>45347</c:v>
                </c:pt>
                <c:pt idx="1">
                  <c:v>45348</c:v>
                </c:pt>
                <c:pt idx="2">
                  <c:v>45349</c:v>
                </c:pt>
                <c:pt idx="3">
                  <c:v>45350</c:v>
                </c:pt>
                <c:pt idx="4">
                  <c:v>45351</c:v>
                </c:pt>
                <c:pt idx="5">
                  <c:v>45352</c:v>
                </c:pt>
                <c:pt idx="6">
                  <c:v>45353</c:v>
                </c:pt>
                <c:pt idx="7">
                  <c:v>45354</c:v>
                </c:pt>
                <c:pt idx="10">
                  <c:v>45355</c:v>
                </c:pt>
                <c:pt idx="11">
                  <c:v>45356</c:v>
                </c:pt>
                <c:pt idx="12">
                  <c:v>45357</c:v>
                </c:pt>
                <c:pt idx="13">
                  <c:v>45358</c:v>
                </c:pt>
                <c:pt idx="14">
                  <c:v>45359</c:v>
                </c:pt>
                <c:pt idx="15">
                  <c:v>45360</c:v>
                </c:pt>
                <c:pt idx="16">
                  <c:v>45361</c:v>
                </c:pt>
                <c:pt idx="19">
                  <c:v>45362</c:v>
                </c:pt>
                <c:pt idx="20">
                  <c:v>45363</c:v>
                </c:pt>
                <c:pt idx="21">
                  <c:v>45364</c:v>
                </c:pt>
                <c:pt idx="22">
                  <c:v>45365</c:v>
                </c:pt>
                <c:pt idx="23">
                  <c:v>45366</c:v>
                </c:pt>
                <c:pt idx="24">
                  <c:v>45367</c:v>
                </c:pt>
                <c:pt idx="25">
                  <c:v>45368</c:v>
                </c:pt>
                <c:pt idx="28">
                  <c:v>45369</c:v>
                </c:pt>
                <c:pt idx="29">
                  <c:v>45370</c:v>
                </c:pt>
                <c:pt idx="30">
                  <c:v>45371</c:v>
                </c:pt>
                <c:pt idx="31">
                  <c:v>45372</c:v>
                </c:pt>
                <c:pt idx="32">
                  <c:v>45373</c:v>
                </c:pt>
                <c:pt idx="33">
                  <c:v>45374</c:v>
                </c:pt>
                <c:pt idx="34">
                  <c:v>45375</c:v>
                </c:pt>
                <c:pt idx="37">
                  <c:v>45376</c:v>
                </c:pt>
                <c:pt idx="38">
                  <c:v>45377</c:v>
                </c:pt>
                <c:pt idx="39">
                  <c:v>45378</c:v>
                </c:pt>
                <c:pt idx="40">
                  <c:v>45379</c:v>
                </c:pt>
                <c:pt idx="41">
                  <c:v>45380</c:v>
                </c:pt>
                <c:pt idx="42">
                  <c:v>45381</c:v>
                </c:pt>
                <c:pt idx="43">
                  <c:v>45382</c:v>
                </c:pt>
              </c:numCache>
            </c:numRef>
          </c:cat>
          <c:val>
            <c:numRef>
              <c:f>MAR!$AB$4:$AB$47</c:f>
              <c:numCache>
                <c:formatCode>#,##0.0</c:formatCode>
                <c:ptCount val="4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CD-CC4B-977B-046BBEF3C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690880"/>
        <c:axId val="67692416"/>
      </c:lineChart>
      <c:dateAx>
        <c:axId val="67690880"/>
        <c:scaling>
          <c:orientation val="minMax"/>
          <c:max val="45382"/>
          <c:min val="45351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7692416"/>
        <c:crosses val="autoZero"/>
        <c:auto val="1"/>
        <c:lblOffset val="100"/>
        <c:baseTimeUnit val="days"/>
      </c:dateAx>
      <c:valAx>
        <c:axId val="6769241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76908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MAR!$C$4:$D$47</c:f>
              <c:numCache>
                <c:formatCode>d;@</c:formatCode>
                <c:ptCount val="44"/>
                <c:pt idx="0">
                  <c:v>45347</c:v>
                </c:pt>
                <c:pt idx="1">
                  <c:v>45348</c:v>
                </c:pt>
                <c:pt idx="2">
                  <c:v>45349</c:v>
                </c:pt>
                <c:pt idx="3">
                  <c:v>45350</c:v>
                </c:pt>
                <c:pt idx="4">
                  <c:v>45351</c:v>
                </c:pt>
                <c:pt idx="5">
                  <c:v>45352</c:v>
                </c:pt>
                <c:pt idx="6">
                  <c:v>45353</c:v>
                </c:pt>
                <c:pt idx="7">
                  <c:v>45354</c:v>
                </c:pt>
                <c:pt idx="10">
                  <c:v>45355</c:v>
                </c:pt>
                <c:pt idx="11">
                  <c:v>45356</c:v>
                </c:pt>
                <c:pt idx="12">
                  <c:v>45357</c:v>
                </c:pt>
                <c:pt idx="13">
                  <c:v>45358</c:v>
                </c:pt>
                <c:pt idx="14">
                  <c:v>45359</c:v>
                </c:pt>
                <c:pt idx="15">
                  <c:v>45360</c:v>
                </c:pt>
                <c:pt idx="16">
                  <c:v>45361</c:v>
                </c:pt>
                <c:pt idx="19">
                  <c:v>45362</c:v>
                </c:pt>
                <c:pt idx="20">
                  <c:v>45363</c:v>
                </c:pt>
                <c:pt idx="21">
                  <c:v>45364</c:v>
                </c:pt>
                <c:pt idx="22">
                  <c:v>45365</c:v>
                </c:pt>
                <c:pt idx="23">
                  <c:v>45366</c:v>
                </c:pt>
                <c:pt idx="24">
                  <c:v>45367</c:v>
                </c:pt>
                <c:pt idx="25">
                  <c:v>45368</c:v>
                </c:pt>
                <c:pt idx="28">
                  <c:v>45369</c:v>
                </c:pt>
                <c:pt idx="29">
                  <c:v>45370</c:v>
                </c:pt>
                <c:pt idx="30">
                  <c:v>45371</c:v>
                </c:pt>
                <c:pt idx="31">
                  <c:v>45372</c:v>
                </c:pt>
                <c:pt idx="32">
                  <c:v>45373</c:v>
                </c:pt>
                <c:pt idx="33">
                  <c:v>45374</c:v>
                </c:pt>
                <c:pt idx="34">
                  <c:v>45375</c:v>
                </c:pt>
                <c:pt idx="37">
                  <c:v>45376</c:v>
                </c:pt>
                <c:pt idx="38">
                  <c:v>45377</c:v>
                </c:pt>
                <c:pt idx="39">
                  <c:v>45378</c:v>
                </c:pt>
                <c:pt idx="40">
                  <c:v>45379</c:v>
                </c:pt>
                <c:pt idx="41">
                  <c:v>45380</c:v>
                </c:pt>
                <c:pt idx="42">
                  <c:v>45381</c:v>
                </c:pt>
                <c:pt idx="43">
                  <c:v>45382</c:v>
                </c:pt>
              </c:numCache>
            </c:numRef>
          </c:cat>
          <c:val>
            <c:numRef>
              <c:f>MAR!$R$4:$R$47</c:f>
              <c:numCache>
                <c:formatCode>#,##0.0</c:formatCode>
                <c:ptCount val="4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B4-A74B-80D8-D7663829C979}"/>
            </c:ext>
          </c:extLst>
        </c:ser>
        <c:ser>
          <c:idx val="1"/>
          <c:order val="1"/>
          <c:invertIfNegative val="0"/>
          <c:cat>
            <c:numRef>
              <c:f>MAR!$C$4:$D$47</c:f>
              <c:numCache>
                <c:formatCode>d;@</c:formatCode>
                <c:ptCount val="44"/>
                <c:pt idx="0">
                  <c:v>45347</c:v>
                </c:pt>
                <c:pt idx="1">
                  <c:v>45348</c:v>
                </c:pt>
                <c:pt idx="2">
                  <c:v>45349</c:v>
                </c:pt>
                <c:pt idx="3">
                  <c:v>45350</c:v>
                </c:pt>
                <c:pt idx="4">
                  <c:v>45351</c:v>
                </c:pt>
                <c:pt idx="5">
                  <c:v>45352</c:v>
                </c:pt>
                <c:pt idx="6">
                  <c:v>45353</c:v>
                </c:pt>
                <c:pt idx="7">
                  <c:v>45354</c:v>
                </c:pt>
                <c:pt idx="10">
                  <c:v>45355</c:v>
                </c:pt>
                <c:pt idx="11">
                  <c:v>45356</c:v>
                </c:pt>
                <c:pt idx="12">
                  <c:v>45357</c:v>
                </c:pt>
                <c:pt idx="13">
                  <c:v>45358</c:v>
                </c:pt>
                <c:pt idx="14">
                  <c:v>45359</c:v>
                </c:pt>
                <c:pt idx="15">
                  <c:v>45360</c:v>
                </c:pt>
                <c:pt idx="16">
                  <c:v>45361</c:v>
                </c:pt>
                <c:pt idx="19">
                  <c:v>45362</c:v>
                </c:pt>
                <c:pt idx="20">
                  <c:v>45363</c:v>
                </c:pt>
                <c:pt idx="21">
                  <c:v>45364</c:v>
                </c:pt>
                <c:pt idx="22">
                  <c:v>45365</c:v>
                </c:pt>
                <c:pt idx="23">
                  <c:v>45366</c:v>
                </c:pt>
                <c:pt idx="24">
                  <c:v>45367</c:v>
                </c:pt>
                <c:pt idx="25">
                  <c:v>45368</c:v>
                </c:pt>
                <c:pt idx="28">
                  <c:v>45369</c:v>
                </c:pt>
                <c:pt idx="29">
                  <c:v>45370</c:v>
                </c:pt>
                <c:pt idx="30">
                  <c:v>45371</c:v>
                </c:pt>
                <c:pt idx="31">
                  <c:v>45372</c:v>
                </c:pt>
                <c:pt idx="32">
                  <c:v>45373</c:v>
                </c:pt>
                <c:pt idx="33">
                  <c:v>45374</c:v>
                </c:pt>
                <c:pt idx="34">
                  <c:v>45375</c:v>
                </c:pt>
                <c:pt idx="37">
                  <c:v>45376</c:v>
                </c:pt>
                <c:pt idx="38">
                  <c:v>45377</c:v>
                </c:pt>
                <c:pt idx="39">
                  <c:v>45378</c:v>
                </c:pt>
                <c:pt idx="40">
                  <c:v>45379</c:v>
                </c:pt>
                <c:pt idx="41">
                  <c:v>45380</c:v>
                </c:pt>
                <c:pt idx="42">
                  <c:v>45381</c:v>
                </c:pt>
                <c:pt idx="43">
                  <c:v>45382</c:v>
                </c:pt>
              </c:numCache>
            </c:numRef>
          </c:cat>
          <c:val>
            <c:numRef>
              <c:f>MAR!$T$5:$T$43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AB4-A74B-80D8-D7663829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MAR!$C$4:$D$47</c:f>
              <c:numCache>
                <c:formatCode>d;@</c:formatCode>
                <c:ptCount val="44"/>
                <c:pt idx="0">
                  <c:v>45347</c:v>
                </c:pt>
                <c:pt idx="1">
                  <c:v>45348</c:v>
                </c:pt>
                <c:pt idx="2">
                  <c:v>45349</c:v>
                </c:pt>
                <c:pt idx="3">
                  <c:v>45350</c:v>
                </c:pt>
                <c:pt idx="4">
                  <c:v>45351</c:v>
                </c:pt>
                <c:pt idx="5">
                  <c:v>45352</c:v>
                </c:pt>
                <c:pt idx="6">
                  <c:v>45353</c:v>
                </c:pt>
                <c:pt idx="7">
                  <c:v>45354</c:v>
                </c:pt>
                <c:pt idx="10">
                  <c:v>45355</c:v>
                </c:pt>
                <c:pt idx="11">
                  <c:v>45356</c:v>
                </c:pt>
                <c:pt idx="12">
                  <c:v>45357</c:v>
                </c:pt>
                <c:pt idx="13">
                  <c:v>45358</c:v>
                </c:pt>
                <c:pt idx="14">
                  <c:v>45359</c:v>
                </c:pt>
                <c:pt idx="15">
                  <c:v>45360</c:v>
                </c:pt>
                <c:pt idx="16">
                  <c:v>45361</c:v>
                </c:pt>
                <c:pt idx="19">
                  <c:v>45362</c:v>
                </c:pt>
                <c:pt idx="20">
                  <c:v>45363</c:v>
                </c:pt>
                <c:pt idx="21">
                  <c:v>45364</c:v>
                </c:pt>
                <c:pt idx="22">
                  <c:v>45365</c:v>
                </c:pt>
                <c:pt idx="23">
                  <c:v>45366</c:v>
                </c:pt>
                <c:pt idx="24">
                  <c:v>45367</c:v>
                </c:pt>
                <c:pt idx="25">
                  <c:v>45368</c:v>
                </c:pt>
                <c:pt idx="28">
                  <c:v>45369</c:v>
                </c:pt>
                <c:pt idx="29">
                  <c:v>45370</c:v>
                </c:pt>
                <c:pt idx="30">
                  <c:v>45371</c:v>
                </c:pt>
                <c:pt idx="31">
                  <c:v>45372</c:v>
                </c:pt>
                <c:pt idx="32">
                  <c:v>45373</c:v>
                </c:pt>
                <c:pt idx="33">
                  <c:v>45374</c:v>
                </c:pt>
                <c:pt idx="34">
                  <c:v>45375</c:v>
                </c:pt>
                <c:pt idx="37">
                  <c:v>45376</c:v>
                </c:pt>
                <c:pt idx="38">
                  <c:v>45377</c:v>
                </c:pt>
                <c:pt idx="39">
                  <c:v>45378</c:v>
                </c:pt>
                <c:pt idx="40">
                  <c:v>45379</c:v>
                </c:pt>
                <c:pt idx="41">
                  <c:v>45380</c:v>
                </c:pt>
                <c:pt idx="42">
                  <c:v>45381</c:v>
                </c:pt>
                <c:pt idx="43">
                  <c:v>45382</c:v>
                </c:pt>
              </c:numCache>
            </c:numRef>
          </c:cat>
          <c:val>
            <c:numRef>
              <c:f>MAR!$U$5:$U$43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AB4-A74B-80D8-D7663829C979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MAR!$C$4:$D$47</c:f>
              <c:numCache>
                <c:formatCode>d;@</c:formatCode>
                <c:ptCount val="44"/>
                <c:pt idx="0">
                  <c:v>45347</c:v>
                </c:pt>
                <c:pt idx="1">
                  <c:v>45348</c:v>
                </c:pt>
                <c:pt idx="2">
                  <c:v>45349</c:v>
                </c:pt>
                <c:pt idx="3">
                  <c:v>45350</c:v>
                </c:pt>
                <c:pt idx="4">
                  <c:v>45351</c:v>
                </c:pt>
                <c:pt idx="5">
                  <c:v>45352</c:v>
                </c:pt>
                <c:pt idx="6">
                  <c:v>45353</c:v>
                </c:pt>
                <c:pt idx="7">
                  <c:v>45354</c:v>
                </c:pt>
                <c:pt idx="10">
                  <c:v>45355</c:v>
                </c:pt>
                <c:pt idx="11">
                  <c:v>45356</c:v>
                </c:pt>
                <c:pt idx="12">
                  <c:v>45357</c:v>
                </c:pt>
                <c:pt idx="13">
                  <c:v>45358</c:v>
                </c:pt>
                <c:pt idx="14">
                  <c:v>45359</c:v>
                </c:pt>
                <c:pt idx="15">
                  <c:v>45360</c:v>
                </c:pt>
                <c:pt idx="16">
                  <c:v>45361</c:v>
                </c:pt>
                <c:pt idx="19">
                  <c:v>45362</c:v>
                </c:pt>
                <c:pt idx="20">
                  <c:v>45363</c:v>
                </c:pt>
                <c:pt idx="21">
                  <c:v>45364</c:v>
                </c:pt>
                <c:pt idx="22">
                  <c:v>45365</c:v>
                </c:pt>
                <c:pt idx="23">
                  <c:v>45366</c:v>
                </c:pt>
                <c:pt idx="24">
                  <c:v>45367</c:v>
                </c:pt>
                <c:pt idx="25">
                  <c:v>45368</c:v>
                </c:pt>
                <c:pt idx="28">
                  <c:v>45369</c:v>
                </c:pt>
                <c:pt idx="29">
                  <c:v>45370</c:v>
                </c:pt>
                <c:pt idx="30">
                  <c:v>45371</c:v>
                </c:pt>
                <c:pt idx="31">
                  <c:v>45372</c:v>
                </c:pt>
                <c:pt idx="32">
                  <c:v>45373</c:v>
                </c:pt>
                <c:pt idx="33">
                  <c:v>45374</c:v>
                </c:pt>
                <c:pt idx="34">
                  <c:v>45375</c:v>
                </c:pt>
                <c:pt idx="37">
                  <c:v>45376</c:v>
                </c:pt>
                <c:pt idx="38">
                  <c:v>45377</c:v>
                </c:pt>
                <c:pt idx="39">
                  <c:v>45378</c:v>
                </c:pt>
                <c:pt idx="40">
                  <c:v>45379</c:v>
                </c:pt>
                <c:pt idx="41">
                  <c:v>45380</c:v>
                </c:pt>
                <c:pt idx="42">
                  <c:v>45381</c:v>
                </c:pt>
                <c:pt idx="43">
                  <c:v>45382</c:v>
                </c:pt>
              </c:numCache>
            </c:numRef>
          </c:cat>
          <c:val>
            <c:numRef>
              <c:f>MAR!$V$4:$V$47</c:f>
              <c:numCache>
                <c:formatCode>#,##0.00</c:formatCode>
                <c:ptCount val="4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AB4-A74B-80D8-D7663829C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382"/>
          <c:min val="4535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  <a:ln>
          <a:solidFill>
            <a:schemeClr val="accent2">
              <a:shade val="95000"/>
              <a:satMod val="105000"/>
            </a:schemeClr>
          </a:solidFill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251275342792462"/>
          <c:y val="2.4869159351711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C-F24D-93B2-57BF4EDF36F5}"/>
            </c:ext>
          </c:extLst>
        </c:ser>
        <c:ser>
          <c:idx val="1"/>
          <c:order val="1"/>
          <c:tx>
            <c:strRef>
              <c:f>MAR!$O$54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C-F24D-93B2-57BF4EDF36F5}"/>
            </c:ext>
          </c:extLst>
        </c:ser>
        <c:ser>
          <c:idx val="2"/>
          <c:order val="2"/>
          <c:tx>
            <c:strRef>
              <c:f>MAR!$O$55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CC-F24D-93B2-57BF4EDF36F5}"/>
            </c:ext>
          </c:extLst>
        </c:ser>
        <c:ser>
          <c:idx val="4"/>
          <c:order val="3"/>
          <c:tx>
            <c:strRef>
              <c:f>MAR!$O$56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EACC-F24D-93B2-57BF4EDF36F5}"/>
            </c:ext>
          </c:extLst>
        </c:ser>
        <c:ser>
          <c:idx val="6"/>
          <c:order val="4"/>
          <c:tx>
            <c:strRef>
              <c:f>MAR!$O$59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MAR!$P$52:$V$52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MAR!$P$59:$V$59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ACC-F24D-93B2-57BF4EDF3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869696"/>
        <c:axId val="83829504"/>
      </c:barChart>
      <c:catAx>
        <c:axId val="67869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83829504"/>
        <c:crosses val="autoZero"/>
        <c:auto val="0"/>
        <c:lblAlgn val="ctr"/>
        <c:lblOffset val="100"/>
        <c:noMultiLvlLbl val="0"/>
      </c:catAx>
      <c:valAx>
        <c:axId val="83829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7869696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5454830461674"/>
          <c:y val="0.26599314581260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APR!$C$4:$D$42</c:f>
              <c:numCache>
                <c:formatCode>d;@</c:formatCode>
                <c:ptCount val="39"/>
                <c:pt idx="0">
                  <c:v>45382</c:v>
                </c:pt>
                <c:pt idx="1">
                  <c:v>45383</c:v>
                </c:pt>
                <c:pt idx="2">
                  <c:v>45384</c:v>
                </c:pt>
                <c:pt idx="3">
                  <c:v>45385</c:v>
                </c:pt>
                <c:pt idx="4">
                  <c:v>45386</c:v>
                </c:pt>
                <c:pt idx="5">
                  <c:v>45387</c:v>
                </c:pt>
                <c:pt idx="6">
                  <c:v>45388</c:v>
                </c:pt>
                <c:pt idx="7">
                  <c:v>45389</c:v>
                </c:pt>
                <c:pt idx="10">
                  <c:v>45390</c:v>
                </c:pt>
                <c:pt idx="11">
                  <c:v>45391</c:v>
                </c:pt>
                <c:pt idx="12">
                  <c:v>45392</c:v>
                </c:pt>
                <c:pt idx="13">
                  <c:v>45393</c:v>
                </c:pt>
                <c:pt idx="14">
                  <c:v>45394</c:v>
                </c:pt>
                <c:pt idx="15">
                  <c:v>45395</c:v>
                </c:pt>
                <c:pt idx="16">
                  <c:v>45396</c:v>
                </c:pt>
                <c:pt idx="19">
                  <c:v>45397</c:v>
                </c:pt>
                <c:pt idx="20">
                  <c:v>45398</c:v>
                </c:pt>
                <c:pt idx="21">
                  <c:v>45399</c:v>
                </c:pt>
                <c:pt idx="22">
                  <c:v>45400</c:v>
                </c:pt>
                <c:pt idx="23">
                  <c:v>45401</c:v>
                </c:pt>
                <c:pt idx="24">
                  <c:v>45402</c:v>
                </c:pt>
                <c:pt idx="25">
                  <c:v>45403</c:v>
                </c:pt>
                <c:pt idx="28">
                  <c:v>45404</c:v>
                </c:pt>
                <c:pt idx="29">
                  <c:v>45405</c:v>
                </c:pt>
                <c:pt idx="30">
                  <c:v>45406</c:v>
                </c:pt>
                <c:pt idx="31">
                  <c:v>45407</c:v>
                </c:pt>
                <c:pt idx="32">
                  <c:v>45408</c:v>
                </c:pt>
                <c:pt idx="33">
                  <c:v>45409</c:v>
                </c:pt>
                <c:pt idx="34">
                  <c:v>45410</c:v>
                </c:pt>
                <c:pt idx="37">
                  <c:v>45411</c:v>
                </c:pt>
                <c:pt idx="38">
                  <c:v>45412</c:v>
                </c:pt>
              </c:numCache>
            </c:numRef>
          </c:cat>
          <c:val>
            <c:numRef>
              <c:f>APR!$Q$4:$Q$42</c:f>
              <c:numCache>
                <c:formatCode>#,##0.0</c:formatCode>
                <c:ptCount val="39"/>
                <c:pt idx="0">
                  <c:v>44767.805587464667</c:v>
                </c:pt>
                <c:pt idx="1">
                  <c:v>44767.805587464667</c:v>
                </c:pt>
                <c:pt idx="2">
                  <c:v>44767.805587464667</c:v>
                </c:pt>
                <c:pt idx="3">
                  <c:v>44767.805587464667</c:v>
                </c:pt>
                <c:pt idx="4">
                  <c:v>44767.805587464667</c:v>
                </c:pt>
                <c:pt idx="5">
                  <c:v>44767.805587464667</c:v>
                </c:pt>
                <c:pt idx="6">
                  <c:v>44767.805587464667</c:v>
                </c:pt>
                <c:pt idx="7">
                  <c:v>44767.805587464667</c:v>
                </c:pt>
                <c:pt idx="8">
                  <c:v>0</c:v>
                </c:pt>
                <c:pt idx="9">
                  <c:v>0</c:v>
                </c:pt>
                <c:pt idx="10">
                  <c:v>44767.805587464667</c:v>
                </c:pt>
                <c:pt idx="11">
                  <c:v>44767.805587464667</c:v>
                </c:pt>
                <c:pt idx="12">
                  <c:v>44767.805587464667</c:v>
                </c:pt>
                <c:pt idx="13">
                  <c:v>44767.805587464667</c:v>
                </c:pt>
                <c:pt idx="14">
                  <c:v>44767.805587464667</c:v>
                </c:pt>
                <c:pt idx="15">
                  <c:v>44767.805587464667</c:v>
                </c:pt>
                <c:pt idx="16">
                  <c:v>44767.805587464667</c:v>
                </c:pt>
                <c:pt idx="17">
                  <c:v>0</c:v>
                </c:pt>
                <c:pt idx="18">
                  <c:v>0</c:v>
                </c:pt>
                <c:pt idx="19">
                  <c:v>44767.805587464667</c:v>
                </c:pt>
                <c:pt idx="20">
                  <c:v>44767.805587464667</c:v>
                </c:pt>
                <c:pt idx="21">
                  <c:v>44767.805587464667</c:v>
                </c:pt>
                <c:pt idx="22">
                  <c:v>44767.805587464667</c:v>
                </c:pt>
                <c:pt idx="23">
                  <c:v>44767.805587464667</c:v>
                </c:pt>
                <c:pt idx="24">
                  <c:v>44767.805587464667</c:v>
                </c:pt>
                <c:pt idx="25">
                  <c:v>44767.805587464667</c:v>
                </c:pt>
                <c:pt idx="26">
                  <c:v>0</c:v>
                </c:pt>
                <c:pt idx="27">
                  <c:v>0</c:v>
                </c:pt>
                <c:pt idx="28">
                  <c:v>44767.805587464667</c:v>
                </c:pt>
                <c:pt idx="29">
                  <c:v>44767.805587464667</c:v>
                </c:pt>
                <c:pt idx="30">
                  <c:v>44767.805587464667</c:v>
                </c:pt>
                <c:pt idx="31">
                  <c:v>44767.805587464667</c:v>
                </c:pt>
                <c:pt idx="32">
                  <c:v>44767.805587464667</c:v>
                </c:pt>
                <c:pt idx="33">
                  <c:v>44767.805587464667</c:v>
                </c:pt>
                <c:pt idx="34">
                  <c:v>44767.805587464667</c:v>
                </c:pt>
                <c:pt idx="35">
                  <c:v>0</c:v>
                </c:pt>
                <c:pt idx="36">
                  <c:v>0</c:v>
                </c:pt>
                <c:pt idx="37">
                  <c:v>44767.805587464667</c:v>
                </c:pt>
                <c:pt idx="38">
                  <c:v>44767.805587464667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0-574C-847D-F9C2416B06FB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APR!$C$4:$D$42</c:f>
              <c:numCache>
                <c:formatCode>d;@</c:formatCode>
                <c:ptCount val="39"/>
                <c:pt idx="0">
                  <c:v>45382</c:v>
                </c:pt>
                <c:pt idx="1">
                  <c:v>45383</c:v>
                </c:pt>
                <c:pt idx="2">
                  <c:v>45384</c:v>
                </c:pt>
                <c:pt idx="3">
                  <c:v>45385</c:v>
                </c:pt>
                <c:pt idx="4">
                  <c:v>45386</c:v>
                </c:pt>
                <c:pt idx="5">
                  <c:v>45387</c:v>
                </c:pt>
                <c:pt idx="6">
                  <c:v>45388</c:v>
                </c:pt>
                <c:pt idx="7">
                  <c:v>45389</c:v>
                </c:pt>
                <c:pt idx="10">
                  <c:v>45390</c:v>
                </c:pt>
                <c:pt idx="11">
                  <c:v>45391</c:v>
                </c:pt>
                <c:pt idx="12">
                  <c:v>45392</c:v>
                </c:pt>
                <c:pt idx="13">
                  <c:v>45393</c:v>
                </c:pt>
                <c:pt idx="14">
                  <c:v>45394</c:v>
                </c:pt>
                <c:pt idx="15">
                  <c:v>45395</c:v>
                </c:pt>
                <c:pt idx="16">
                  <c:v>45396</c:v>
                </c:pt>
                <c:pt idx="19">
                  <c:v>45397</c:v>
                </c:pt>
                <c:pt idx="20">
                  <c:v>45398</c:v>
                </c:pt>
                <c:pt idx="21">
                  <c:v>45399</c:v>
                </c:pt>
                <c:pt idx="22">
                  <c:v>45400</c:v>
                </c:pt>
                <c:pt idx="23">
                  <c:v>45401</c:v>
                </c:pt>
                <c:pt idx="24">
                  <c:v>45402</c:v>
                </c:pt>
                <c:pt idx="25">
                  <c:v>45403</c:v>
                </c:pt>
                <c:pt idx="28">
                  <c:v>45404</c:v>
                </c:pt>
                <c:pt idx="29">
                  <c:v>45405</c:v>
                </c:pt>
                <c:pt idx="30">
                  <c:v>45406</c:v>
                </c:pt>
                <c:pt idx="31">
                  <c:v>45407</c:v>
                </c:pt>
                <c:pt idx="32">
                  <c:v>45408</c:v>
                </c:pt>
                <c:pt idx="33">
                  <c:v>45409</c:v>
                </c:pt>
                <c:pt idx="34">
                  <c:v>45410</c:v>
                </c:pt>
                <c:pt idx="37">
                  <c:v>45411</c:v>
                </c:pt>
                <c:pt idx="38">
                  <c:v>45412</c:v>
                </c:pt>
              </c:numCache>
            </c:numRef>
          </c:cat>
          <c:val>
            <c:numRef>
              <c:f>APR!$AB$4:$AB$42</c:f>
              <c:numCache>
                <c:formatCode>#,##0.0</c:formatCode>
                <c:ptCount val="39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0-574C-847D-F9C2416B0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734848"/>
        <c:axId val="120736384"/>
      </c:lineChart>
      <c:dateAx>
        <c:axId val="120734848"/>
        <c:scaling>
          <c:orientation val="minMax"/>
          <c:max val="45412"/>
          <c:min val="4538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20736384"/>
        <c:crosses val="autoZero"/>
        <c:auto val="1"/>
        <c:lblOffset val="100"/>
        <c:baseTimeUnit val="days"/>
      </c:dateAx>
      <c:valAx>
        <c:axId val="12073638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20734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APR!$C$4:$C$42</c:f>
              <c:numCache>
                <c:formatCode>d;@</c:formatCode>
                <c:ptCount val="39"/>
                <c:pt idx="0">
                  <c:v>45382</c:v>
                </c:pt>
                <c:pt idx="1">
                  <c:v>45383</c:v>
                </c:pt>
                <c:pt idx="2">
                  <c:v>45384</c:v>
                </c:pt>
                <c:pt idx="3">
                  <c:v>45385</c:v>
                </c:pt>
                <c:pt idx="4">
                  <c:v>45386</c:v>
                </c:pt>
                <c:pt idx="5">
                  <c:v>45387</c:v>
                </c:pt>
                <c:pt idx="6">
                  <c:v>45388</c:v>
                </c:pt>
                <c:pt idx="7">
                  <c:v>45389</c:v>
                </c:pt>
                <c:pt idx="10">
                  <c:v>45390</c:v>
                </c:pt>
                <c:pt idx="11">
                  <c:v>45391</c:v>
                </c:pt>
                <c:pt idx="12">
                  <c:v>45392</c:v>
                </c:pt>
                <c:pt idx="13">
                  <c:v>45393</c:v>
                </c:pt>
                <c:pt idx="14">
                  <c:v>45394</c:v>
                </c:pt>
                <c:pt idx="15">
                  <c:v>45395</c:v>
                </c:pt>
                <c:pt idx="16">
                  <c:v>45396</c:v>
                </c:pt>
                <c:pt idx="19">
                  <c:v>45397</c:v>
                </c:pt>
                <c:pt idx="20">
                  <c:v>45398</c:v>
                </c:pt>
                <c:pt idx="21">
                  <c:v>45399</c:v>
                </c:pt>
                <c:pt idx="22">
                  <c:v>45400</c:v>
                </c:pt>
                <c:pt idx="23">
                  <c:v>45401</c:v>
                </c:pt>
                <c:pt idx="24">
                  <c:v>45402</c:v>
                </c:pt>
                <c:pt idx="25">
                  <c:v>45403</c:v>
                </c:pt>
                <c:pt idx="28">
                  <c:v>45404</c:v>
                </c:pt>
                <c:pt idx="29">
                  <c:v>45405</c:v>
                </c:pt>
                <c:pt idx="30">
                  <c:v>45406</c:v>
                </c:pt>
                <c:pt idx="31">
                  <c:v>45407</c:v>
                </c:pt>
                <c:pt idx="32">
                  <c:v>45408</c:v>
                </c:pt>
                <c:pt idx="33">
                  <c:v>45409</c:v>
                </c:pt>
                <c:pt idx="34">
                  <c:v>45410</c:v>
                </c:pt>
                <c:pt idx="37">
                  <c:v>45411</c:v>
                </c:pt>
                <c:pt idx="38">
                  <c:v>45412</c:v>
                </c:pt>
              </c:numCache>
            </c:numRef>
          </c:cat>
          <c:val>
            <c:numRef>
              <c:f>APR!$R$4:$R$42</c:f>
              <c:numCache>
                <c:formatCode>#,##0.0</c:formatCode>
                <c:ptCount val="3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E0-0A43-BE03-200C90D62CCC}"/>
            </c:ext>
          </c:extLst>
        </c:ser>
        <c:ser>
          <c:idx val="1"/>
          <c:order val="1"/>
          <c:invertIfNegative val="0"/>
          <c:cat>
            <c:numRef>
              <c:f>APR!$C$4:$C$42</c:f>
              <c:numCache>
                <c:formatCode>d;@</c:formatCode>
                <c:ptCount val="39"/>
                <c:pt idx="0">
                  <c:v>45382</c:v>
                </c:pt>
                <c:pt idx="1">
                  <c:v>45383</c:v>
                </c:pt>
                <c:pt idx="2">
                  <c:v>45384</c:v>
                </c:pt>
                <c:pt idx="3">
                  <c:v>45385</c:v>
                </c:pt>
                <c:pt idx="4">
                  <c:v>45386</c:v>
                </c:pt>
                <c:pt idx="5">
                  <c:v>45387</c:v>
                </c:pt>
                <c:pt idx="6">
                  <c:v>45388</c:v>
                </c:pt>
                <c:pt idx="7">
                  <c:v>45389</c:v>
                </c:pt>
                <c:pt idx="10">
                  <c:v>45390</c:v>
                </c:pt>
                <c:pt idx="11">
                  <c:v>45391</c:v>
                </c:pt>
                <c:pt idx="12">
                  <c:v>45392</c:v>
                </c:pt>
                <c:pt idx="13">
                  <c:v>45393</c:v>
                </c:pt>
                <c:pt idx="14">
                  <c:v>45394</c:v>
                </c:pt>
                <c:pt idx="15">
                  <c:v>45395</c:v>
                </c:pt>
                <c:pt idx="16">
                  <c:v>45396</c:v>
                </c:pt>
                <c:pt idx="19">
                  <c:v>45397</c:v>
                </c:pt>
                <c:pt idx="20">
                  <c:v>45398</c:v>
                </c:pt>
                <c:pt idx="21">
                  <c:v>45399</c:v>
                </c:pt>
                <c:pt idx="22">
                  <c:v>45400</c:v>
                </c:pt>
                <c:pt idx="23">
                  <c:v>45401</c:v>
                </c:pt>
                <c:pt idx="24">
                  <c:v>45402</c:v>
                </c:pt>
                <c:pt idx="25">
                  <c:v>45403</c:v>
                </c:pt>
                <c:pt idx="28">
                  <c:v>45404</c:v>
                </c:pt>
                <c:pt idx="29">
                  <c:v>45405</c:v>
                </c:pt>
                <c:pt idx="30">
                  <c:v>45406</c:v>
                </c:pt>
                <c:pt idx="31">
                  <c:v>45407</c:v>
                </c:pt>
                <c:pt idx="32">
                  <c:v>45408</c:v>
                </c:pt>
                <c:pt idx="33">
                  <c:v>45409</c:v>
                </c:pt>
                <c:pt idx="34">
                  <c:v>45410</c:v>
                </c:pt>
                <c:pt idx="37">
                  <c:v>45411</c:v>
                </c:pt>
                <c:pt idx="38">
                  <c:v>45412</c:v>
                </c:pt>
              </c:numCache>
            </c:numRef>
          </c:cat>
          <c:val>
            <c:numRef>
              <c:f>APR!$T$5:$T$43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1E0-0A43-BE03-200C90D62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APR!$C$4:$C$42</c:f>
              <c:numCache>
                <c:formatCode>d;@</c:formatCode>
                <c:ptCount val="39"/>
                <c:pt idx="0">
                  <c:v>45382</c:v>
                </c:pt>
                <c:pt idx="1">
                  <c:v>45383</c:v>
                </c:pt>
                <c:pt idx="2">
                  <c:v>45384</c:v>
                </c:pt>
                <c:pt idx="3">
                  <c:v>45385</c:v>
                </c:pt>
                <c:pt idx="4">
                  <c:v>45386</c:v>
                </c:pt>
                <c:pt idx="5">
                  <c:v>45387</c:v>
                </c:pt>
                <c:pt idx="6">
                  <c:v>45388</c:v>
                </c:pt>
                <c:pt idx="7">
                  <c:v>45389</c:v>
                </c:pt>
                <c:pt idx="10">
                  <c:v>45390</c:v>
                </c:pt>
                <c:pt idx="11">
                  <c:v>45391</c:v>
                </c:pt>
                <c:pt idx="12">
                  <c:v>45392</c:v>
                </c:pt>
                <c:pt idx="13">
                  <c:v>45393</c:v>
                </c:pt>
                <c:pt idx="14">
                  <c:v>45394</c:v>
                </c:pt>
                <c:pt idx="15">
                  <c:v>45395</c:v>
                </c:pt>
                <c:pt idx="16">
                  <c:v>45396</c:v>
                </c:pt>
                <c:pt idx="19">
                  <c:v>45397</c:v>
                </c:pt>
                <c:pt idx="20">
                  <c:v>45398</c:v>
                </c:pt>
                <c:pt idx="21">
                  <c:v>45399</c:v>
                </c:pt>
                <c:pt idx="22">
                  <c:v>45400</c:v>
                </c:pt>
                <c:pt idx="23">
                  <c:v>45401</c:v>
                </c:pt>
                <c:pt idx="24">
                  <c:v>45402</c:v>
                </c:pt>
                <c:pt idx="25">
                  <c:v>45403</c:v>
                </c:pt>
                <c:pt idx="28">
                  <c:v>45404</c:v>
                </c:pt>
                <c:pt idx="29">
                  <c:v>45405</c:v>
                </c:pt>
                <c:pt idx="30">
                  <c:v>45406</c:v>
                </c:pt>
                <c:pt idx="31">
                  <c:v>45407</c:v>
                </c:pt>
                <c:pt idx="32">
                  <c:v>45408</c:v>
                </c:pt>
                <c:pt idx="33">
                  <c:v>45409</c:v>
                </c:pt>
                <c:pt idx="34">
                  <c:v>45410</c:v>
                </c:pt>
                <c:pt idx="37">
                  <c:v>45411</c:v>
                </c:pt>
                <c:pt idx="38">
                  <c:v>45412</c:v>
                </c:pt>
              </c:numCache>
            </c:numRef>
          </c:cat>
          <c:val>
            <c:numRef>
              <c:f>APR!$U$5:$U$43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1E0-0A43-BE03-200C90D62CCC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APR!$C$4:$C$42</c:f>
              <c:numCache>
                <c:formatCode>d;@</c:formatCode>
                <c:ptCount val="39"/>
                <c:pt idx="0">
                  <c:v>45382</c:v>
                </c:pt>
                <c:pt idx="1">
                  <c:v>45383</c:v>
                </c:pt>
                <c:pt idx="2">
                  <c:v>45384</c:v>
                </c:pt>
                <c:pt idx="3">
                  <c:v>45385</c:v>
                </c:pt>
                <c:pt idx="4">
                  <c:v>45386</c:v>
                </c:pt>
                <c:pt idx="5">
                  <c:v>45387</c:v>
                </c:pt>
                <c:pt idx="6">
                  <c:v>45388</c:v>
                </c:pt>
                <c:pt idx="7">
                  <c:v>45389</c:v>
                </c:pt>
                <c:pt idx="10">
                  <c:v>45390</c:v>
                </c:pt>
                <c:pt idx="11">
                  <c:v>45391</c:v>
                </c:pt>
                <c:pt idx="12">
                  <c:v>45392</c:v>
                </c:pt>
                <c:pt idx="13">
                  <c:v>45393</c:v>
                </c:pt>
                <c:pt idx="14">
                  <c:v>45394</c:v>
                </c:pt>
                <c:pt idx="15">
                  <c:v>45395</c:v>
                </c:pt>
                <c:pt idx="16">
                  <c:v>45396</c:v>
                </c:pt>
                <c:pt idx="19">
                  <c:v>45397</c:v>
                </c:pt>
                <c:pt idx="20">
                  <c:v>45398</c:v>
                </c:pt>
                <c:pt idx="21">
                  <c:v>45399</c:v>
                </c:pt>
                <c:pt idx="22">
                  <c:v>45400</c:v>
                </c:pt>
                <c:pt idx="23">
                  <c:v>45401</c:v>
                </c:pt>
                <c:pt idx="24">
                  <c:v>45402</c:v>
                </c:pt>
                <c:pt idx="25">
                  <c:v>45403</c:v>
                </c:pt>
                <c:pt idx="28">
                  <c:v>45404</c:v>
                </c:pt>
                <c:pt idx="29">
                  <c:v>45405</c:v>
                </c:pt>
                <c:pt idx="30">
                  <c:v>45406</c:v>
                </c:pt>
                <c:pt idx="31">
                  <c:v>45407</c:v>
                </c:pt>
                <c:pt idx="32">
                  <c:v>45408</c:v>
                </c:pt>
                <c:pt idx="33">
                  <c:v>45409</c:v>
                </c:pt>
                <c:pt idx="34">
                  <c:v>45410</c:v>
                </c:pt>
                <c:pt idx="37">
                  <c:v>45411</c:v>
                </c:pt>
                <c:pt idx="38">
                  <c:v>45412</c:v>
                </c:pt>
              </c:numCache>
            </c:numRef>
          </c:cat>
          <c:val>
            <c:numRef>
              <c:f>APR!$V$4:$V$42</c:f>
              <c:numCache>
                <c:formatCode>#,##0.00</c:formatCode>
                <c:ptCount val="39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E0-0A43-BE03-200C90D62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412"/>
          <c:min val="45383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APR!$P$53:$V$53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E-774A-B36F-BE6FB1147165}"/>
            </c:ext>
          </c:extLst>
        </c:ser>
        <c:ser>
          <c:idx val="1"/>
          <c:order val="1"/>
          <c:tx>
            <c:strRef>
              <c:f>APR!$O$54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E-774A-B36F-BE6FB1147165}"/>
            </c:ext>
          </c:extLst>
        </c:ser>
        <c:ser>
          <c:idx val="2"/>
          <c:order val="2"/>
          <c:tx>
            <c:strRef>
              <c:f>APR!$O$55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0E-774A-B36F-BE6FB1147165}"/>
            </c:ext>
          </c:extLst>
        </c:ser>
        <c:ser>
          <c:idx val="4"/>
          <c:order val="3"/>
          <c:tx>
            <c:strRef>
              <c:f>APR!$O$56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830E-774A-B36F-BE6FB1147165}"/>
            </c:ext>
          </c:extLst>
        </c:ser>
        <c:ser>
          <c:idx val="6"/>
          <c:order val="4"/>
          <c:tx>
            <c:strRef>
              <c:f>APR!$O$59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APR!$P$52:$V$52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APR!$P$59:$V$59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0E-774A-B36F-BE6FB1147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987648"/>
        <c:axId val="120989184"/>
      </c:barChart>
      <c:catAx>
        <c:axId val="120987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20989184"/>
        <c:crosses val="autoZero"/>
        <c:auto val="0"/>
        <c:lblAlgn val="ctr"/>
        <c:lblOffset val="100"/>
        <c:noMultiLvlLbl val="0"/>
      </c:catAx>
      <c:valAx>
        <c:axId val="120989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20987648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456584721377"/>
          <c:y val="0.260756506824084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MAY!$C$4:$C$45</c:f>
              <c:numCache>
                <c:formatCode>d;@</c:formatCode>
                <c:ptCount val="42"/>
                <c:pt idx="0">
                  <c:v>45410</c:v>
                </c:pt>
                <c:pt idx="1">
                  <c:v>45411</c:v>
                </c:pt>
                <c:pt idx="2">
                  <c:v>45412</c:v>
                </c:pt>
                <c:pt idx="3">
                  <c:v>45413</c:v>
                </c:pt>
                <c:pt idx="4">
                  <c:v>45414</c:v>
                </c:pt>
                <c:pt idx="5">
                  <c:v>45415</c:v>
                </c:pt>
                <c:pt idx="6">
                  <c:v>45416</c:v>
                </c:pt>
                <c:pt idx="7">
                  <c:v>45417</c:v>
                </c:pt>
                <c:pt idx="10">
                  <c:v>45418</c:v>
                </c:pt>
                <c:pt idx="11">
                  <c:v>45419</c:v>
                </c:pt>
                <c:pt idx="12">
                  <c:v>45420</c:v>
                </c:pt>
                <c:pt idx="13">
                  <c:v>45421</c:v>
                </c:pt>
                <c:pt idx="14">
                  <c:v>45422</c:v>
                </c:pt>
                <c:pt idx="15">
                  <c:v>45423</c:v>
                </c:pt>
                <c:pt idx="16">
                  <c:v>45424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8">
                  <c:v>45432</c:v>
                </c:pt>
                <c:pt idx="29">
                  <c:v>45433</c:v>
                </c:pt>
                <c:pt idx="30">
                  <c:v>45434</c:v>
                </c:pt>
                <c:pt idx="31">
                  <c:v>45435</c:v>
                </c:pt>
                <c:pt idx="32">
                  <c:v>45436</c:v>
                </c:pt>
                <c:pt idx="33">
                  <c:v>45437</c:v>
                </c:pt>
                <c:pt idx="34">
                  <c:v>45438</c:v>
                </c:pt>
                <c:pt idx="37">
                  <c:v>45439</c:v>
                </c:pt>
                <c:pt idx="38">
                  <c:v>45440</c:v>
                </c:pt>
                <c:pt idx="39">
                  <c:v>45441</c:v>
                </c:pt>
                <c:pt idx="40">
                  <c:v>45442</c:v>
                </c:pt>
                <c:pt idx="41">
                  <c:v>45443</c:v>
                </c:pt>
              </c:numCache>
            </c:numRef>
          </c:cat>
          <c:val>
            <c:numRef>
              <c:f>MAY!$Q$4:$Q$45</c:f>
              <c:numCache>
                <c:formatCode>#,##0.0</c:formatCode>
                <c:ptCount val="42"/>
                <c:pt idx="0">
                  <c:v>51924.65754097022</c:v>
                </c:pt>
                <c:pt idx="1">
                  <c:v>51924.65754097022</c:v>
                </c:pt>
                <c:pt idx="2">
                  <c:v>51924.65754097022</c:v>
                </c:pt>
                <c:pt idx="3">
                  <c:v>51924.65754097022</c:v>
                </c:pt>
                <c:pt idx="4">
                  <c:v>51924.65754097022</c:v>
                </c:pt>
                <c:pt idx="5">
                  <c:v>51924.65754097022</c:v>
                </c:pt>
                <c:pt idx="6">
                  <c:v>51924.65754097022</c:v>
                </c:pt>
                <c:pt idx="7">
                  <c:v>51924.65754097022</c:v>
                </c:pt>
                <c:pt idx="8">
                  <c:v>0</c:v>
                </c:pt>
                <c:pt idx="9">
                  <c:v>0</c:v>
                </c:pt>
                <c:pt idx="10">
                  <c:v>51924.65754097022</c:v>
                </c:pt>
                <c:pt idx="11">
                  <c:v>51924.65754097022</c:v>
                </c:pt>
                <c:pt idx="12">
                  <c:v>51924.65754097022</c:v>
                </c:pt>
                <c:pt idx="13">
                  <c:v>51924.65754097022</c:v>
                </c:pt>
                <c:pt idx="14">
                  <c:v>51924.65754097022</c:v>
                </c:pt>
                <c:pt idx="15">
                  <c:v>51924.65754097022</c:v>
                </c:pt>
                <c:pt idx="16">
                  <c:v>51924.65754097022</c:v>
                </c:pt>
                <c:pt idx="17">
                  <c:v>0</c:v>
                </c:pt>
                <c:pt idx="18">
                  <c:v>0</c:v>
                </c:pt>
                <c:pt idx="19">
                  <c:v>51924.65754097022</c:v>
                </c:pt>
                <c:pt idx="20">
                  <c:v>51924.65754097022</c:v>
                </c:pt>
                <c:pt idx="21">
                  <c:v>51924.65754097022</c:v>
                </c:pt>
                <c:pt idx="22">
                  <c:v>51924.65754097022</c:v>
                </c:pt>
                <c:pt idx="23">
                  <c:v>51924.65754097022</c:v>
                </c:pt>
                <c:pt idx="24">
                  <c:v>51924.65754097022</c:v>
                </c:pt>
                <c:pt idx="25">
                  <c:v>51924.65754097022</c:v>
                </c:pt>
                <c:pt idx="26">
                  <c:v>0</c:v>
                </c:pt>
                <c:pt idx="27">
                  <c:v>0</c:v>
                </c:pt>
                <c:pt idx="28">
                  <c:v>51924.65754097022</c:v>
                </c:pt>
                <c:pt idx="29">
                  <c:v>51924.65754097022</c:v>
                </c:pt>
                <c:pt idx="30">
                  <c:v>51924.65754097022</c:v>
                </c:pt>
                <c:pt idx="31">
                  <c:v>51924.65754097022</c:v>
                </c:pt>
                <c:pt idx="32">
                  <c:v>51924.65754097022</c:v>
                </c:pt>
                <c:pt idx="33">
                  <c:v>51924.65754097022</c:v>
                </c:pt>
                <c:pt idx="34">
                  <c:v>51924.65754097022</c:v>
                </c:pt>
                <c:pt idx="35">
                  <c:v>0</c:v>
                </c:pt>
                <c:pt idx="36">
                  <c:v>0</c:v>
                </c:pt>
                <c:pt idx="37">
                  <c:v>51924.65754097022</c:v>
                </c:pt>
                <c:pt idx="38">
                  <c:v>51924.65754097022</c:v>
                </c:pt>
                <c:pt idx="39">
                  <c:v>51924.65754097022</c:v>
                </c:pt>
                <c:pt idx="40">
                  <c:v>51924.65754097022</c:v>
                </c:pt>
                <c:pt idx="41">
                  <c:v>51924.65754097022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EF-754E-9AB9-2B4D6D89AB21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MAY!$C$4:$C$45</c:f>
              <c:numCache>
                <c:formatCode>d;@</c:formatCode>
                <c:ptCount val="42"/>
                <c:pt idx="0">
                  <c:v>45410</c:v>
                </c:pt>
                <c:pt idx="1">
                  <c:v>45411</c:v>
                </c:pt>
                <c:pt idx="2">
                  <c:v>45412</c:v>
                </c:pt>
                <c:pt idx="3">
                  <c:v>45413</c:v>
                </c:pt>
                <c:pt idx="4">
                  <c:v>45414</c:v>
                </c:pt>
                <c:pt idx="5">
                  <c:v>45415</c:v>
                </c:pt>
                <c:pt idx="6">
                  <c:v>45416</c:v>
                </c:pt>
                <c:pt idx="7">
                  <c:v>45417</c:v>
                </c:pt>
                <c:pt idx="10">
                  <c:v>45418</c:v>
                </c:pt>
                <c:pt idx="11">
                  <c:v>45419</c:v>
                </c:pt>
                <c:pt idx="12">
                  <c:v>45420</c:v>
                </c:pt>
                <c:pt idx="13">
                  <c:v>45421</c:v>
                </c:pt>
                <c:pt idx="14">
                  <c:v>45422</c:v>
                </c:pt>
                <c:pt idx="15">
                  <c:v>45423</c:v>
                </c:pt>
                <c:pt idx="16">
                  <c:v>45424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8">
                  <c:v>45432</c:v>
                </c:pt>
                <c:pt idx="29">
                  <c:v>45433</c:v>
                </c:pt>
                <c:pt idx="30">
                  <c:v>45434</c:v>
                </c:pt>
                <c:pt idx="31">
                  <c:v>45435</c:v>
                </c:pt>
                <c:pt idx="32">
                  <c:v>45436</c:v>
                </c:pt>
                <c:pt idx="33">
                  <c:v>45437</c:v>
                </c:pt>
                <c:pt idx="34">
                  <c:v>45438</c:v>
                </c:pt>
                <c:pt idx="37">
                  <c:v>45439</c:v>
                </c:pt>
                <c:pt idx="38">
                  <c:v>45440</c:v>
                </c:pt>
                <c:pt idx="39">
                  <c:v>45441</c:v>
                </c:pt>
                <c:pt idx="40">
                  <c:v>45442</c:v>
                </c:pt>
                <c:pt idx="41">
                  <c:v>45443</c:v>
                </c:pt>
              </c:numCache>
            </c:numRef>
          </c:cat>
          <c:val>
            <c:numRef>
              <c:f>MAY!$AB$4:$AB$45</c:f>
              <c:numCache>
                <c:formatCode>#,##0.0</c:formatCode>
                <c:ptCount val="42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EF-754E-9AB9-2B4D6D89A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403520"/>
        <c:axId val="125405056"/>
      </c:lineChart>
      <c:dateAx>
        <c:axId val="125403520"/>
        <c:scaling>
          <c:orientation val="minMax"/>
          <c:max val="45443"/>
          <c:min val="4541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25405056"/>
        <c:crosses val="autoZero"/>
        <c:auto val="1"/>
        <c:lblOffset val="100"/>
        <c:baseTimeUnit val="days"/>
      </c:dateAx>
      <c:valAx>
        <c:axId val="12540505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25403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MAY!$C$4:$C$45</c:f>
              <c:numCache>
                <c:formatCode>d;@</c:formatCode>
                <c:ptCount val="42"/>
                <c:pt idx="0">
                  <c:v>45410</c:v>
                </c:pt>
                <c:pt idx="1">
                  <c:v>45411</c:v>
                </c:pt>
                <c:pt idx="2">
                  <c:v>45412</c:v>
                </c:pt>
                <c:pt idx="3">
                  <c:v>45413</c:v>
                </c:pt>
                <c:pt idx="4">
                  <c:v>45414</c:v>
                </c:pt>
                <c:pt idx="5">
                  <c:v>45415</c:v>
                </c:pt>
                <c:pt idx="6">
                  <c:v>45416</c:v>
                </c:pt>
                <c:pt idx="7">
                  <c:v>45417</c:v>
                </c:pt>
                <c:pt idx="10">
                  <c:v>45418</c:v>
                </c:pt>
                <c:pt idx="11">
                  <c:v>45419</c:v>
                </c:pt>
                <c:pt idx="12">
                  <c:v>45420</c:v>
                </c:pt>
                <c:pt idx="13">
                  <c:v>45421</c:v>
                </c:pt>
                <c:pt idx="14">
                  <c:v>45422</c:v>
                </c:pt>
                <c:pt idx="15">
                  <c:v>45423</c:v>
                </c:pt>
                <c:pt idx="16">
                  <c:v>45424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8">
                  <c:v>45432</c:v>
                </c:pt>
                <c:pt idx="29">
                  <c:v>45433</c:v>
                </c:pt>
                <c:pt idx="30">
                  <c:v>45434</c:v>
                </c:pt>
                <c:pt idx="31">
                  <c:v>45435</c:v>
                </c:pt>
                <c:pt idx="32">
                  <c:v>45436</c:v>
                </c:pt>
                <c:pt idx="33">
                  <c:v>45437</c:v>
                </c:pt>
                <c:pt idx="34">
                  <c:v>45438</c:v>
                </c:pt>
                <c:pt idx="37">
                  <c:v>45439</c:v>
                </c:pt>
                <c:pt idx="38">
                  <c:v>45440</c:v>
                </c:pt>
                <c:pt idx="39">
                  <c:v>45441</c:v>
                </c:pt>
                <c:pt idx="40">
                  <c:v>45442</c:v>
                </c:pt>
                <c:pt idx="41">
                  <c:v>45443</c:v>
                </c:pt>
              </c:numCache>
            </c:numRef>
          </c:cat>
          <c:val>
            <c:numRef>
              <c:f>MAY!$R$4:$R$45</c:f>
              <c:numCache>
                <c:formatCode>#,##0.0</c:formatCode>
                <c:ptCount val="4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3-3E47-897C-6ED8EF756255}"/>
            </c:ext>
          </c:extLst>
        </c:ser>
        <c:ser>
          <c:idx val="1"/>
          <c:order val="1"/>
          <c:invertIfNegative val="0"/>
          <c:cat>
            <c:numRef>
              <c:f>MAY!$C$4:$C$45</c:f>
              <c:numCache>
                <c:formatCode>d;@</c:formatCode>
                <c:ptCount val="42"/>
                <c:pt idx="0">
                  <c:v>45410</c:v>
                </c:pt>
                <c:pt idx="1">
                  <c:v>45411</c:v>
                </c:pt>
                <c:pt idx="2">
                  <c:v>45412</c:v>
                </c:pt>
                <c:pt idx="3">
                  <c:v>45413</c:v>
                </c:pt>
                <c:pt idx="4">
                  <c:v>45414</c:v>
                </c:pt>
                <c:pt idx="5">
                  <c:v>45415</c:v>
                </c:pt>
                <c:pt idx="6">
                  <c:v>45416</c:v>
                </c:pt>
                <c:pt idx="7">
                  <c:v>45417</c:v>
                </c:pt>
                <c:pt idx="10">
                  <c:v>45418</c:v>
                </c:pt>
                <c:pt idx="11">
                  <c:v>45419</c:v>
                </c:pt>
                <c:pt idx="12">
                  <c:v>45420</c:v>
                </c:pt>
                <c:pt idx="13">
                  <c:v>45421</c:v>
                </c:pt>
                <c:pt idx="14">
                  <c:v>45422</c:v>
                </c:pt>
                <c:pt idx="15">
                  <c:v>45423</c:v>
                </c:pt>
                <c:pt idx="16">
                  <c:v>45424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8">
                  <c:v>45432</c:v>
                </c:pt>
                <c:pt idx="29">
                  <c:v>45433</c:v>
                </c:pt>
                <c:pt idx="30">
                  <c:v>45434</c:v>
                </c:pt>
                <c:pt idx="31">
                  <c:v>45435</c:v>
                </c:pt>
                <c:pt idx="32">
                  <c:v>45436</c:v>
                </c:pt>
                <c:pt idx="33">
                  <c:v>45437</c:v>
                </c:pt>
                <c:pt idx="34">
                  <c:v>45438</c:v>
                </c:pt>
                <c:pt idx="37">
                  <c:v>45439</c:v>
                </c:pt>
                <c:pt idx="38">
                  <c:v>45440</c:v>
                </c:pt>
                <c:pt idx="39">
                  <c:v>45441</c:v>
                </c:pt>
                <c:pt idx="40">
                  <c:v>45442</c:v>
                </c:pt>
                <c:pt idx="41">
                  <c:v>45443</c:v>
                </c:pt>
              </c:numCache>
            </c:numRef>
          </c:cat>
          <c:val>
            <c:numRef>
              <c:f>MAY!$T$5:$T$43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D623-3E47-897C-6ED8EF75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MAY!$C$4:$C$45</c:f>
              <c:numCache>
                <c:formatCode>d;@</c:formatCode>
                <c:ptCount val="42"/>
                <c:pt idx="0">
                  <c:v>45410</c:v>
                </c:pt>
                <c:pt idx="1">
                  <c:v>45411</c:v>
                </c:pt>
                <c:pt idx="2">
                  <c:v>45412</c:v>
                </c:pt>
                <c:pt idx="3">
                  <c:v>45413</c:v>
                </c:pt>
                <c:pt idx="4">
                  <c:v>45414</c:v>
                </c:pt>
                <c:pt idx="5">
                  <c:v>45415</c:v>
                </c:pt>
                <c:pt idx="6">
                  <c:v>45416</c:v>
                </c:pt>
                <c:pt idx="7">
                  <c:v>45417</c:v>
                </c:pt>
                <c:pt idx="10">
                  <c:v>45418</c:v>
                </c:pt>
                <c:pt idx="11">
                  <c:v>45419</c:v>
                </c:pt>
                <c:pt idx="12">
                  <c:v>45420</c:v>
                </c:pt>
                <c:pt idx="13">
                  <c:v>45421</c:v>
                </c:pt>
                <c:pt idx="14">
                  <c:v>45422</c:v>
                </c:pt>
                <c:pt idx="15">
                  <c:v>45423</c:v>
                </c:pt>
                <c:pt idx="16">
                  <c:v>45424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8">
                  <c:v>45432</c:v>
                </c:pt>
                <c:pt idx="29">
                  <c:v>45433</c:v>
                </c:pt>
                <c:pt idx="30">
                  <c:v>45434</c:v>
                </c:pt>
                <c:pt idx="31">
                  <c:v>45435</c:v>
                </c:pt>
                <c:pt idx="32">
                  <c:v>45436</c:v>
                </c:pt>
                <c:pt idx="33">
                  <c:v>45437</c:v>
                </c:pt>
                <c:pt idx="34">
                  <c:v>45438</c:v>
                </c:pt>
                <c:pt idx="37">
                  <c:v>45439</c:v>
                </c:pt>
                <c:pt idx="38">
                  <c:v>45440</c:v>
                </c:pt>
                <c:pt idx="39">
                  <c:v>45441</c:v>
                </c:pt>
                <c:pt idx="40">
                  <c:v>45442</c:v>
                </c:pt>
                <c:pt idx="41">
                  <c:v>45443</c:v>
                </c:pt>
              </c:numCache>
            </c:numRef>
          </c:cat>
          <c:val>
            <c:numRef>
              <c:f>MAY!$U$5:$U$43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D623-3E47-897C-6ED8EF756255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MAY!$C$4:$C$45</c:f>
              <c:numCache>
                <c:formatCode>d;@</c:formatCode>
                <c:ptCount val="42"/>
                <c:pt idx="0">
                  <c:v>45410</c:v>
                </c:pt>
                <c:pt idx="1">
                  <c:v>45411</c:v>
                </c:pt>
                <c:pt idx="2">
                  <c:v>45412</c:v>
                </c:pt>
                <c:pt idx="3">
                  <c:v>45413</c:v>
                </c:pt>
                <c:pt idx="4">
                  <c:v>45414</c:v>
                </c:pt>
                <c:pt idx="5">
                  <c:v>45415</c:v>
                </c:pt>
                <c:pt idx="6">
                  <c:v>45416</c:v>
                </c:pt>
                <c:pt idx="7">
                  <c:v>45417</c:v>
                </c:pt>
                <c:pt idx="10">
                  <c:v>45418</c:v>
                </c:pt>
                <c:pt idx="11">
                  <c:v>45419</c:v>
                </c:pt>
                <c:pt idx="12">
                  <c:v>45420</c:v>
                </c:pt>
                <c:pt idx="13">
                  <c:v>45421</c:v>
                </c:pt>
                <c:pt idx="14">
                  <c:v>45422</c:v>
                </c:pt>
                <c:pt idx="15">
                  <c:v>45423</c:v>
                </c:pt>
                <c:pt idx="16">
                  <c:v>45424</c:v>
                </c:pt>
                <c:pt idx="19">
                  <c:v>45425</c:v>
                </c:pt>
                <c:pt idx="20">
                  <c:v>45426</c:v>
                </c:pt>
                <c:pt idx="21">
                  <c:v>45427</c:v>
                </c:pt>
                <c:pt idx="22">
                  <c:v>45428</c:v>
                </c:pt>
                <c:pt idx="23">
                  <c:v>45429</c:v>
                </c:pt>
                <c:pt idx="24">
                  <c:v>45430</c:v>
                </c:pt>
                <c:pt idx="25">
                  <c:v>45431</c:v>
                </c:pt>
                <c:pt idx="28">
                  <c:v>45432</c:v>
                </c:pt>
                <c:pt idx="29">
                  <c:v>45433</c:v>
                </c:pt>
                <c:pt idx="30">
                  <c:v>45434</c:v>
                </c:pt>
                <c:pt idx="31">
                  <c:v>45435</c:v>
                </c:pt>
                <c:pt idx="32">
                  <c:v>45436</c:v>
                </c:pt>
                <c:pt idx="33">
                  <c:v>45437</c:v>
                </c:pt>
                <c:pt idx="34">
                  <c:v>45438</c:v>
                </c:pt>
                <c:pt idx="37">
                  <c:v>45439</c:v>
                </c:pt>
                <c:pt idx="38">
                  <c:v>45440</c:v>
                </c:pt>
                <c:pt idx="39">
                  <c:v>45441</c:v>
                </c:pt>
                <c:pt idx="40">
                  <c:v>45442</c:v>
                </c:pt>
                <c:pt idx="41">
                  <c:v>45443</c:v>
                </c:pt>
              </c:numCache>
            </c:numRef>
          </c:cat>
          <c:val>
            <c:numRef>
              <c:f>MAY!$V$4:$V$45</c:f>
              <c:numCache>
                <c:formatCode>#,##0.00</c:formatCode>
                <c:ptCount val="4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23-3E47-897C-6ED8EF756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443"/>
          <c:min val="45413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MAY!$O$53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2-714B-A8B7-A9758FACC570}"/>
            </c:ext>
          </c:extLst>
        </c:ser>
        <c:ser>
          <c:idx val="1"/>
          <c:order val="1"/>
          <c:tx>
            <c:strRef>
              <c:f>MAY!$O$54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2-714B-A8B7-A9758FACC570}"/>
            </c:ext>
          </c:extLst>
        </c:ser>
        <c:ser>
          <c:idx val="2"/>
          <c:order val="2"/>
          <c:tx>
            <c:strRef>
              <c:f>MAY!$O$55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2-714B-A8B7-A9758FACC570}"/>
            </c:ext>
          </c:extLst>
        </c:ser>
        <c:ser>
          <c:idx val="4"/>
          <c:order val="3"/>
          <c:tx>
            <c:strRef>
              <c:f>MAY!$O$56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A0B2-714B-A8B7-A9758FACC570}"/>
            </c:ext>
          </c:extLst>
        </c:ser>
        <c:ser>
          <c:idx val="6"/>
          <c:order val="4"/>
          <c:tx>
            <c:strRef>
              <c:f>MAY!$O$59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MAY!$P$52:$V$52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MAY!$P$59:$V$59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B2-714B-A8B7-A9758FACC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053376"/>
        <c:axId val="128570112"/>
      </c:barChart>
      <c:catAx>
        <c:axId val="126053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28570112"/>
        <c:crosses val="autoZero"/>
        <c:auto val="0"/>
        <c:lblAlgn val="ctr"/>
        <c:lblOffset val="100"/>
        <c:noMultiLvlLbl val="0"/>
      </c:catAx>
      <c:valAx>
        <c:axId val="12857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26053376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857142857143041E-2"/>
          <c:y val="8.9092872570194853E-2"/>
          <c:w val="0.81428571428571461"/>
          <c:h val="0.875809935205187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73244827456279893"/>
                  <c:y val="-1.6813761927567526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AF-7440-9C11-16D34B59D249}"/>
                </c:ext>
              </c:extLst>
            </c:dLbl>
            <c:dLbl>
              <c:idx val="1"/>
              <c:layout>
                <c:manualLayout>
                  <c:x val="0.7411073215930245"/>
                  <c:y val="-1.458273251901674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AF-7440-9C11-16D34B59D249}"/>
                </c:ext>
              </c:extLst>
            </c:dLbl>
            <c:dLbl>
              <c:idx val="2"/>
              <c:layout>
                <c:manualLayout>
                  <c:x val="0.78107163137093438"/>
                  <c:y val="-1.4456906575451265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AF-7440-9C11-16D34B59D249}"/>
                </c:ext>
              </c:extLst>
            </c:dLbl>
            <c:dLbl>
              <c:idx val="3"/>
              <c:layout>
                <c:manualLayout>
                  <c:x val="0.62354744915016702"/>
                  <c:y val="-1.1845034127170412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AF-7440-9C11-16D34B59D249}"/>
                </c:ext>
              </c:extLst>
            </c:dLbl>
            <c:dLbl>
              <c:idx val="4"/>
              <c:layout>
                <c:manualLayout>
                  <c:x val="0.65384297791763857"/>
                  <c:y val="-7.205289751059705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AF-7440-9C11-16D34B59D249}"/>
                </c:ext>
              </c:extLst>
            </c:dLbl>
            <c:dLbl>
              <c:idx val="5"/>
              <c:layout>
                <c:manualLayout>
                  <c:x val="0.68462107518319015"/>
                  <c:y val="-7.230264428452645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AF-7440-9C11-16D34B59D249}"/>
                </c:ext>
              </c:extLst>
            </c:dLbl>
            <c:dLbl>
              <c:idx val="6"/>
              <c:layout>
                <c:manualLayout>
                  <c:x val="0.54337954701749813"/>
                  <c:y val="-7.238590006261956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AF-7440-9C11-16D34B59D249}"/>
                </c:ext>
              </c:extLst>
            </c:dLbl>
            <c:dLbl>
              <c:idx val="7"/>
              <c:layout>
                <c:manualLayout>
                  <c:x val="0.57376483145719326"/>
                  <c:y val="-9.695011148012739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AF-7440-9C11-16D34B59D249}"/>
                </c:ext>
              </c:extLst>
            </c:dLbl>
            <c:dLbl>
              <c:idx val="8"/>
              <c:layout>
                <c:manualLayout>
                  <c:x val="0.60020596996722997"/>
                  <c:y val="-9.651453341682726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1AF-7440-9C11-16D34B59D249}"/>
                </c:ext>
              </c:extLst>
            </c:dLbl>
            <c:dLbl>
              <c:idx val="9"/>
              <c:layout>
                <c:manualLayout>
                  <c:x val="0.45659992502963354"/>
                  <c:y val="-9.64983669317386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1AF-7440-9C11-16D34B59D249}"/>
                </c:ext>
              </c:extLst>
            </c:dLbl>
            <c:dLbl>
              <c:idx val="10"/>
              <c:layout>
                <c:manualLayout>
                  <c:x val="0.48537432557257154"/>
                  <c:y val="-7.238590006262133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1AF-7440-9C11-16D34B59D249}"/>
                </c:ext>
              </c:extLst>
            </c:dLbl>
            <c:dLbl>
              <c:idx val="11"/>
              <c:layout>
                <c:manualLayout>
                  <c:x val="0.50693339999592768"/>
                  <c:y val="-4.827547946137907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41-A849-AC46-4E44DBF3F17F}"/>
                </c:ext>
              </c:extLst>
            </c:dLbl>
            <c:dLbl>
              <c:idx val="12"/>
              <c:layout>
                <c:manualLayout>
                  <c:x val="0.37812822533837115"/>
                  <c:y val="4.816987165846838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41-A849-AC46-4E44DBF3F17F}"/>
                </c:ext>
              </c:extLst>
            </c:dLbl>
            <c:dLbl>
              <c:idx val="13"/>
              <c:layout>
                <c:manualLayout>
                  <c:x val="0.39969409394669608"/>
                  <c:y val="2.408113604445444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41-A849-AC46-4E44DBF3F17F}"/>
                </c:ext>
              </c:extLst>
            </c:dLbl>
            <c:dLbl>
              <c:idx val="14"/>
              <c:layout>
                <c:manualLayout>
                  <c:x val="0.42247287304670433"/>
                  <c:y val="8.839954054002415E-17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241-A849-AC46-4E44DBF3F17F}"/>
                </c:ext>
              </c:extLst>
            </c:dLbl>
            <c:dLbl>
              <c:idx val="15"/>
              <c:layout>
                <c:manualLayout>
                  <c:x val="0.28533904476236766"/>
                  <c:y val="-2.410969711894937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41-A849-AC46-4E44DBF3F17F}"/>
                </c:ext>
              </c:extLst>
            </c:dLbl>
            <c:dLbl>
              <c:idx val="16"/>
              <c:layout>
                <c:manualLayout>
                  <c:x val="0.3069045760539994"/>
                  <c:y val="-4.825726670841363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241-A849-AC46-4E44DBF3F17F}"/>
                </c:ext>
              </c:extLst>
            </c:dLbl>
            <c:dLbl>
              <c:idx val="17"/>
              <c:layout>
                <c:manualLayout>
                  <c:x val="0.32883168946722496"/>
                  <c:y val="-2.414763227810953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41-A849-AC46-4E44DBF3F17F}"/>
                </c:ext>
              </c:extLst>
            </c:dLbl>
            <c:dLbl>
              <c:idx val="18"/>
              <c:layout>
                <c:manualLayout>
                  <c:x val="0.19255821587135433"/>
                  <c:y val="-7.238400017023124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58873875524706"/>
                      <c:h val="3.37168728070316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6241-A849-AC46-4E44DBF3F17F}"/>
                </c:ext>
              </c:extLst>
            </c:dLbl>
            <c:dLbl>
              <c:idx val="19"/>
              <c:layout>
                <c:manualLayout>
                  <c:x val="0.21411506461160842"/>
                  <c:y val="-9.651453341682726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41-A849-AC46-4E44DBF3F17F}"/>
                </c:ext>
              </c:extLst>
            </c:dLbl>
            <c:dLbl>
              <c:idx val="20"/>
              <c:layout>
                <c:manualLayout>
                  <c:x val="0.22851957298585041"/>
                  <c:y val="-9.651453341682726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41-A849-AC46-4E44DBF3F17F}"/>
                </c:ext>
              </c:extLst>
            </c:dLbl>
            <c:dLbl>
              <c:idx val="21"/>
              <c:layout>
                <c:manualLayout>
                  <c:x val="0.1069469887019925"/>
                  <c:y val="-9.6514533416829033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41-A849-AC46-4E44DBF3F1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'MY STATS'!$Y$51:$Y$77</c:f>
              <c:strCache>
                <c:ptCount val="5"/>
                <c:pt idx="0">
                  <c:v>23</c:v>
                </c:pt>
                <c:pt idx="1">
                  <c:v>24</c:v>
                </c:pt>
                <c:pt idx="2">
                  <c:v>20</c:v>
                </c:pt>
                <c:pt idx="3">
                  <c:v>19</c:v>
                </c:pt>
                <c:pt idx="4">
                  <c:v>21</c:v>
                </c:pt>
              </c:strCache>
            </c:strRef>
          </c:cat>
          <c:val>
            <c:numRef>
              <c:f>'MY STATS'!$Z$51:$Z$77</c:f>
              <c:numCache>
                <c:formatCode>0</c:formatCode>
                <c:ptCount val="27"/>
                <c:pt idx="0">
                  <c:v>331.99</c:v>
                </c:pt>
                <c:pt idx="1">
                  <c:v>253.99</c:v>
                </c:pt>
                <c:pt idx="2">
                  <c:v>220.99</c:v>
                </c:pt>
                <c:pt idx="3">
                  <c:v>109.99</c:v>
                </c:pt>
                <c:pt idx="4">
                  <c:v>75.702002000906703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51AF-7440-9C11-16D34B59D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043072"/>
        <c:axId val="65057152"/>
      </c:barChart>
      <c:catAx>
        <c:axId val="65043072"/>
        <c:scaling>
          <c:orientation val="minMax"/>
        </c:scaling>
        <c:delete val="1"/>
        <c:axPos val="b"/>
        <c:numFmt formatCode="General" sourceLinked="0"/>
        <c:majorTickMark val="out"/>
        <c:minorTickMark val="none"/>
        <c:tickLblPos val="none"/>
        <c:crossAx val="65057152"/>
        <c:crosses val="autoZero"/>
        <c:auto val="1"/>
        <c:lblAlgn val="ctr"/>
        <c:lblOffset val="100"/>
        <c:noMultiLvlLbl val="0"/>
      </c:catAx>
      <c:valAx>
        <c:axId val="65057152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one"/>
        <c:crossAx val="65043072"/>
        <c:crosses val="autoZero"/>
        <c:crossBetween val="between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  <c:dispBlanksAs val="gap"/>
    <c:showDLblsOverMax val="0"/>
  </c:chart>
  <c:spPr>
    <a:blipFill rotWithShape="1"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1" l="0.75000000000000078" r="0.75000000000000078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4602776229937"/>
          <c:y val="0.2363828679533986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JUN!$C$4:$D$47</c:f>
              <c:numCache>
                <c:formatCode>d;@</c:formatCode>
                <c:ptCount val="44"/>
                <c:pt idx="0">
                  <c:v>45438</c:v>
                </c:pt>
                <c:pt idx="1">
                  <c:v>45439</c:v>
                </c:pt>
                <c:pt idx="2">
                  <c:v>45440</c:v>
                </c:pt>
                <c:pt idx="3">
                  <c:v>45441</c:v>
                </c:pt>
                <c:pt idx="4">
                  <c:v>45442</c:v>
                </c:pt>
                <c:pt idx="5">
                  <c:v>45443</c:v>
                </c:pt>
                <c:pt idx="6">
                  <c:v>45444</c:v>
                </c:pt>
                <c:pt idx="7">
                  <c:v>45445</c:v>
                </c:pt>
                <c:pt idx="10">
                  <c:v>45446</c:v>
                </c:pt>
                <c:pt idx="11">
                  <c:v>45447</c:v>
                </c:pt>
                <c:pt idx="12">
                  <c:v>45448</c:v>
                </c:pt>
                <c:pt idx="13">
                  <c:v>45449</c:v>
                </c:pt>
                <c:pt idx="14">
                  <c:v>45450</c:v>
                </c:pt>
                <c:pt idx="15">
                  <c:v>45451</c:v>
                </c:pt>
                <c:pt idx="16">
                  <c:v>45452</c:v>
                </c:pt>
                <c:pt idx="19">
                  <c:v>45453</c:v>
                </c:pt>
                <c:pt idx="20">
                  <c:v>45454</c:v>
                </c:pt>
                <c:pt idx="21">
                  <c:v>45455</c:v>
                </c:pt>
                <c:pt idx="22">
                  <c:v>45456</c:v>
                </c:pt>
                <c:pt idx="23">
                  <c:v>45457</c:v>
                </c:pt>
                <c:pt idx="24">
                  <c:v>45458</c:v>
                </c:pt>
                <c:pt idx="25">
                  <c:v>45459</c:v>
                </c:pt>
                <c:pt idx="28">
                  <c:v>45460</c:v>
                </c:pt>
                <c:pt idx="29">
                  <c:v>45461</c:v>
                </c:pt>
                <c:pt idx="30">
                  <c:v>45462</c:v>
                </c:pt>
                <c:pt idx="31">
                  <c:v>45463</c:v>
                </c:pt>
                <c:pt idx="32">
                  <c:v>45464</c:v>
                </c:pt>
                <c:pt idx="33">
                  <c:v>45465</c:v>
                </c:pt>
                <c:pt idx="34">
                  <c:v>45466</c:v>
                </c:pt>
                <c:pt idx="37">
                  <c:v>45467</c:v>
                </c:pt>
                <c:pt idx="38">
                  <c:v>45468</c:v>
                </c:pt>
                <c:pt idx="39">
                  <c:v>45469</c:v>
                </c:pt>
                <c:pt idx="40">
                  <c:v>45470</c:v>
                </c:pt>
                <c:pt idx="41">
                  <c:v>45471</c:v>
                </c:pt>
                <c:pt idx="42">
                  <c:v>45472</c:v>
                </c:pt>
                <c:pt idx="43">
                  <c:v>45473</c:v>
                </c:pt>
              </c:numCache>
            </c:numRef>
          </c:cat>
          <c:val>
            <c:numRef>
              <c:f>JUN!$Q$4:$Q$47</c:f>
              <c:numCache>
                <c:formatCode>#,##0.0</c:formatCode>
                <c:ptCount val="44"/>
                <c:pt idx="0">
                  <c:v>57530.552518762066</c:v>
                </c:pt>
                <c:pt idx="1">
                  <c:v>57530.552518762066</c:v>
                </c:pt>
                <c:pt idx="2">
                  <c:v>57530.552518762066</c:v>
                </c:pt>
                <c:pt idx="3">
                  <c:v>57530.552518762066</c:v>
                </c:pt>
                <c:pt idx="4">
                  <c:v>57530.552518762066</c:v>
                </c:pt>
                <c:pt idx="5">
                  <c:v>57530.552518762066</c:v>
                </c:pt>
                <c:pt idx="6">
                  <c:v>57530.552518762066</c:v>
                </c:pt>
                <c:pt idx="7">
                  <c:v>57530.552518762066</c:v>
                </c:pt>
                <c:pt idx="8">
                  <c:v>0</c:v>
                </c:pt>
                <c:pt idx="9">
                  <c:v>0</c:v>
                </c:pt>
                <c:pt idx="10">
                  <c:v>57530.552518762066</c:v>
                </c:pt>
                <c:pt idx="11">
                  <c:v>57530.552518762066</c:v>
                </c:pt>
                <c:pt idx="12">
                  <c:v>57530.552518762066</c:v>
                </c:pt>
                <c:pt idx="13">
                  <c:v>57530.552518762066</c:v>
                </c:pt>
                <c:pt idx="14">
                  <c:v>57530.552518762066</c:v>
                </c:pt>
                <c:pt idx="15">
                  <c:v>57530.552518762066</c:v>
                </c:pt>
                <c:pt idx="16">
                  <c:v>57530.552518762066</c:v>
                </c:pt>
                <c:pt idx="17">
                  <c:v>0</c:v>
                </c:pt>
                <c:pt idx="18">
                  <c:v>0</c:v>
                </c:pt>
                <c:pt idx="19">
                  <c:v>57530.552518762066</c:v>
                </c:pt>
                <c:pt idx="20">
                  <c:v>57530.552518762066</c:v>
                </c:pt>
                <c:pt idx="21">
                  <c:v>57530.552518762066</c:v>
                </c:pt>
                <c:pt idx="22">
                  <c:v>57530.552518762066</c:v>
                </c:pt>
                <c:pt idx="23">
                  <c:v>57530.552518762066</c:v>
                </c:pt>
                <c:pt idx="24">
                  <c:v>57530.552518762066</c:v>
                </c:pt>
                <c:pt idx="25">
                  <c:v>57530.552518762066</c:v>
                </c:pt>
                <c:pt idx="26">
                  <c:v>0</c:v>
                </c:pt>
                <c:pt idx="27">
                  <c:v>0</c:v>
                </c:pt>
                <c:pt idx="28">
                  <c:v>57530.552518762066</c:v>
                </c:pt>
                <c:pt idx="29">
                  <c:v>57530.552518762066</c:v>
                </c:pt>
                <c:pt idx="30">
                  <c:v>57530.552518762066</c:v>
                </c:pt>
                <c:pt idx="31">
                  <c:v>57530.552518762066</c:v>
                </c:pt>
                <c:pt idx="32">
                  <c:v>57530.552518762066</c:v>
                </c:pt>
                <c:pt idx="33">
                  <c:v>57530.552518762066</c:v>
                </c:pt>
                <c:pt idx="34">
                  <c:v>57530.552518762066</c:v>
                </c:pt>
                <c:pt idx="35">
                  <c:v>0</c:v>
                </c:pt>
                <c:pt idx="36">
                  <c:v>0</c:v>
                </c:pt>
                <c:pt idx="37">
                  <c:v>57530.552518762066</c:v>
                </c:pt>
                <c:pt idx="38">
                  <c:v>57530.552518762066</c:v>
                </c:pt>
                <c:pt idx="39">
                  <c:v>57530.552518762066</c:v>
                </c:pt>
                <c:pt idx="40">
                  <c:v>57530.552518762066</c:v>
                </c:pt>
                <c:pt idx="41">
                  <c:v>57530.552518762066</c:v>
                </c:pt>
                <c:pt idx="42">
                  <c:v>57530.552518762066</c:v>
                </c:pt>
                <c:pt idx="43">
                  <c:v>57530.552518762066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81-FC4E-9FC6-319D0B261FB0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JUN!$C$4:$D$47</c:f>
              <c:numCache>
                <c:formatCode>d;@</c:formatCode>
                <c:ptCount val="44"/>
                <c:pt idx="0">
                  <c:v>45438</c:v>
                </c:pt>
                <c:pt idx="1">
                  <c:v>45439</c:v>
                </c:pt>
                <c:pt idx="2">
                  <c:v>45440</c:v>
                </c:pt>
                <c:pt idx="3">
                  <c:v>45441</c:v>
                </c:pt>
                <c:pt idx="4">
                  <c:v>45442</c:v>
                </c:pt>
                <c:pt idx="5">
                  <c:v>45443</c:v>
                </c:pt>
                <c:pt idx="6">
                  <c:v>45444</c:v>
                </c:pt>
                <c:pt idx="7">
                  <c:v>45445</c:v>
                </c:pt>
                <c:pt idx="10">
                  <c:v>45446</c:v>
                </c:pt>
                <c:pt idx="11">
                  <c:v>45447</c:v>
                </c:pt>
                <c:pt idx="12">
                  <c:v>45448</c:v>
                </c:pt>
                <c:pt idx="13">
                  <c:v>45449</c:v>
                </c:pt>
                <c:pt idx="14">
                  <c:v>45450</c:v>
                </c:pt>
                <c:pt idx="15">
                  <c:v>45451</c:v>
                </c:pt>
                <c:pt idx="16">
                  <c:v>45452</c:v>
                </c:pt>
                <c:pt idx="19">
                  <c:v>45453</c:v>
                </c:pt>
                <c:pt idx="20">
                  <c:v>45454</c:v>
                </c:pt>
                <c:pt idx="21">
                  <c:v>45455</c:v>
                </c:pt>
                <c:pt idx="22">
                  <c:v>45456</c:v>
                </c:pt>
                <c:pt idx="23">
                  <c:v>45457</c:v>
                </c:pt>
                <c:pt idx="24">
                  <c:v>45458</c:v>
                </c:pt>
                <c:pt idx="25">
                  <c:v>45459</c:v>
                </c:pt>
                <c:pt idx="28">
                  <c:v>45460</c:v>
                </c:pt>
                <c:pt idx="29">
                  <c:v>45461</c:v>
                </c:pt>
                <c:pt idx="30">
                  <c:v>45462</c:v>
                </c:pt>
                <c:pt idx="31">
                  <c:v>45463</c:v>
                </c:pt>
                <c:pt idx="32">
                  <c:v>45464</c:v>
                </c:pt>
                <c:pt idx="33">
                  <c:v>45465</c:v>
                </c:pt>
                <c:pt idx="34">
                  <c:v>45466</c:v>
                </c:pt>
                <c:pt idx="37">
                  <c:v>45467</c:v>
                </c:pt>
                <c:pt idx="38">
                  <c:v>45468</c:v>
                </c:pt>
                <c:pt idx="39">
                  <c:v>45469</c:v>
                </c:pt>
                <c:pt idx="40">
                  <c:v>45470</c:v>
                </c:pt>
                <c:pt idx="41">
                  <c:v>45471</c:v>
                </c:pt>
                <c:pt idx="42">
                  <c:v>45472</c:v>
                </c:pt>
                <c:pt idx="43">
                  <c:v>45473</c:v>
                </c:pt>
              </c:numCache>
            </c:numRef>
          </c:cat>
          <c:val>
            <c:numRef>
              <c:f>JUN!$AB$4:$AB$47</c:f>
              <c:numCache>
                <c:formatCode>#,##0.0</c:formatCode>
                <c:ptCount val="44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81-FC4E-9FC6-319D0B261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699264"/>
        <c:axId val="132700800"/>
      </c:lineChart>
      <c:dateAx>
        <c:axId val="132699264"/>
        <c:scaling>
          <c:orientation val="minMax"/>
          <c:max val="45473"/>
          <c:min val="45443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32700800"/>
        <c:crosses val="autoZero"/>
        <c:auto val="1"/>
        <c:lblOffset val="100"/>
        <c:baseTimeUnit val="days"/>
      </c:dateAx>
      <c:valAx>
        <c:axId val="132700800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3269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JUN!$C$4:$D$47</c:f>
              <c:numCache>
                <c:formatCode>d;@</c:formatCode>
                <c:ptCount val="44"/>
                <c:pt idx="0">
                  <c:v>45438</c:v>
                </c:pt>
                <c:pt idx="1">
                  <c:v>45439</c:v>
                </c:pt>
                <c:pt idx="2">
                  <c:v>45440</c:v>
                </c:pt>
                <c:pt idx="3">
                  <c:v>45441</c:v>
                </c:pt>
                <c:pt idx="4">
                  <c:v>45442</c:v>
                </c:pt>
                <c:pt idx="5">
                  <c:v>45443</c:v>
                </c:pt>
                <c:pt idx="6">
                  <c:v>45444</c:v>
                </c:pt>
                <c:pt idx="7">
                  <c:v>45445</c:v>
                </c:pt>
                <c:pt idx="10">
                  <c:v>45446</c:v>
                </c:pt>
                <c:pt idx="11">
                  <c:v>45447</c:v>
                </c:pt>
                <c:pt idx="12">
                  <c:v>45448</c:v>
                </c:pt>
                <c:pt idx="13">
                  <c:v>45449</c:v>
                </c:pt>
                <c:pt idx="14">
                  <c:v>45450</c:v>
                </c:pt>
                <c:pt idx="15">
                  <c:v>45451</c:v>
                </c:pt>
                <c:pt idx="16">
                  <c:v>45452</c:v>
                </c:pt>
                <c:pt idx="19">
                  <c:v>45453</c:v>
                </c:pt>
                <c:pt idx="20">
                  <c:v>45454</c:v>
                </c:pt>
                <c:pt idx="21">
                  <c:v>45455</c:v>
                </c:pt>
                <c:pt idx="22">
                  <c:v>45456</c:v>
                </c:pt>
                <c:pt idx="23">
                  <c:v>45457</c:v>
                </c:pt>
                <c:pt idx="24">
                  <c:v>45458</c:v>
                </c:pt>
                <c:pt idx="25">
                  <c:v>45459</c:v>
                </c:pt>
                <c:pt idx="28">
                  <c:v>45460</c:v>
                </c:pt>
                <c:pt idx="29">
                  <c:v>45461</c:v>
                </c:pt>
                <c:pt idx="30">
                  <c:v>45462</c:v>
                </c:pt>
                <c:pt idx="31">
                  <c:v>45463</c:v>
                </c:pt>
                <c:pt idx="32">
                  <c:v>45464</c:v>
                </c:pt>
                <c:pt idx="33">
                  <c:v>45465</c:v>
                </c:pt>
                <c:pt idx="34">
                  <c:v>45466</c:v>
                </c:pt>
                <c:pt idx="37">
                  <c:v>45467</c:v>
                </c:pt>
                <c:pt idx="38">
                  <c:v>45468</c:v>
                </c:pt>
                <c:pt idx="39">
                  <c:v>45469</c:v>
                </c:pt>
                <c:pt idx="40">
                  <c:v>45470</c:v>
                </c:pt>
                <c:pt idx="41">
                  <c:v>45471</c:v>
                </c:pt>
                <c:pt idx="42">
                  <c:v>45472</c:v>
                </c:pt>
                <c:pt idx="43">
                  <c:v>45473</c:v>
                </c:pt>
              </c:numCache>
            </c:numRef>
          </c:cat>
          <c:val>
            <c:numRef>
              <c:f>JUN!$R$4:$R$47</c:f>
              <c:numCache>
                <c:formatCode>#,##0.0</c:formatCode>
                <c:ptCount val="4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C-5743-8B5F-F0CEB64AA9AA}"/>
            </c:ext>
          </c:extLst>
        </c:ser>
        <c:ser>
          <c:idx val="1"/>
          <c:order val="1"/>
          <c:invertIfNegative val="0"/>
          <c:cat>
            <c:numRef>
              <c:f>JUN!$C$4:$D$47</c:f>
              <c:numCache>
                <c:formatCode>d;@</c:formatCode>
                <c:ptCount val="44"/>
                <c:pt idx="0">
                  <c:v>45438</c:v>
                </c:pt>
                <c:pt idx="1">
                  <c:v>45439</c:v>
                </c:pt>
                <c:pt idx="2">
                  <c:v>45440</c:v>
                </c:pt>
                <c:pt idx="3">
                  <c:v>45441</c:v>
                </c:pt>
                <c:pt idx="4">
                  <c:v>45442</c:v>
                </c:pt>
                <c:pt idx="5">
                  <c:v>45443</c:v>
                </c:pt>
                <c:pt idx="6">
                  <c:v>45444</c:v>
                </c:pt>
                <c:pt idx="7">
                  <c:v>45445</c:v>
                </c:pt>
                <c:pt idx="10">
                  <c:v>45446</c:v>
                </c:pt>
                <c:pt idx="11">
                  <c:v>45447</c:v>
                </c:pt>
                <c:pt idx="12">
                  <c:v>45448</c:v>
                </c:pt>
                <c:pt idx="13">
                  <c:v>45449</c:v>
                </c:pt>
                <c:pt idx="14">
                  <c:v>45450</c:v>
                </c:pt>
                <c:pt idx="15">
                  <c:v>45451</c:v>
                </c:pt>
                <c:pt idx="16">
                  <c:v>45452</c:v>
                </c:pt>
                <c:pt idx="19">
                  <c:v>45453</c:v>
                </c:pt>
                <c:pt idx="20">
                  <c:v>45454</c:v>
                </c:pt>
                <c:pt idx="21">
                  <c:v>45455</c:v>
                </c:pt>
                <c:pt idx="22">
                  <c:v>45456</c:v>
                </c:pt>
                <c:pt idx="23">
                  <c:v>45457</c:v>
                </c:pt>
                <c:pt idx="24">
                  <c:v>45458</c:v>
                </c:pt>
                <c:pt idx="25">
                  <c:v>45459</c:v>
                </c:pt>
                <c:pt idx="28">
                  <c:v>45460</c:v>
                </c:pt>
                <c:pt idx="29">
                  <c:v>45461</c:v>
                </c:pt>
                <c:pt idx="30">
                  <c:v>45462</c:v>
                </c:pt>
                <c:pt idx="31">
                  <c:v>45463</c:v>
                </c:pt>
                <c:pt idx="32">
                  <c:v>45464</c:v>
                </c:pt>
                <c:pt idx="33">
                  <c:v>45465</c:v>
                </c:pt>
                <c:pt idx="34">
                  <c:v>45466</c:v>
                </c:pt>
                <c:pt idx="37">
                  <c:v>45467</c:v>
                </c:pt>
                <c:pt idx="38">
                  <c:v>45468</c:v>
                </c:pt>
                <c:pt idx="39">
                  <c:v>45469</c:v>
                </c:pt>
                <c:pt idx="40">
                  <c:v>45470</c:v>
                </c:pt>
                <c:pt idx="41">
                  <c:v>45471</c:v>
                </c:pt>
                <c:pt idx="42">
                  <c:v>45472</c:v>
                </c:pt>
                <c:pt idx="43">
                  <c:v>45473</c:v>
                </c:pt>
              </c:numCache>
            </c:numRef>
          </c:cat>
          <c:val>
            <c:numRef>
              <c:f>JUN!$T$5:$T$43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342C-5743-8B5F-F0CEB64AA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JUN!$C$4:$D$47</c:f>
              <c:numCache>
                <c:formatCode>d;@</c:formatCode>
                <c:ptCount val="44"/>
                <c:pt idx="0">
                  <c:v>45438</c:v>
                </c:pt>
                <c:pt idx="1">
                  <c:v>45439</c:v>
                </c:pt>
                <c:pt idx="2">
                  <c:v>45440</c:v>
                </c:pt>
                <c:pt idx="3">
                  <c:v>45441</c:v>
                </c:pt>
                <c:pt idx="4">
                  <c:v>45442</c:v>
                </c:pt>
                <c:pt idx="5">
                  <c:v>45443</c:v>
                </c:pt>
                <c:pt idx="6">
                  <c:v>45444</c:v>
                </c:pt>
                <c:pt idx="7">
                  <c:v>45445</c:v>
                </c:pt>
                <c:pt idx="10">
                  <c:v>45446</c:v>
                </c:pt>
                <c:pt idx="11">
                  <c:v>45447</c:v>
                </c:pt>
                <c:pt idx="12">
                  <c:v>45448</c:v>
                </c:pt>
                <c:pt idx="13">
                  <c:v>45449</c:v>
                </c:pt>
                <c:pt idx="14">
                  <c:v>45450</c:v>
                </c:pt>
                <c:pt idx="15">
                  <c:v>45451</c:v>
                </c:pt>
                <c:pt idx="16">
                  <c:v>45452</c:v>
                </c:pt>
                <c:pt idx="19">
                  <c:v>45453</c:v>
                </c:pt>
                <c:pt idx="20">
                  <c:v>45454</c:v>
                </c:pt>
                <c:pt idx="21">
                  <c:v>45455</c:v>
                </c:pt>
                <c:pt idx="22">
                  <c:v>45456</c:v>
                </c:pt>
                <c:pt idx="23">
                  <c:v>45457</c:v>
                </c:pt>
                <c:pt idx="24">
                  <c:v>45458</c:v>
                </c:pt>
                <c:pt idx="25">
                  <c:v>45459</c:v>
                </c:pt>
                <c:pt idx="28">
                  <c:v>45460</c:v>
                </c:pt>
                <c:pt idx="29">
                  <c:v>45461</c:v>
                </c:pt>
                <c:pt idx="30">
                  <c:v>45462</c:v>
                </c:pt>
                <c:pt idx="31">
                  <c:v>45463</c:v>
                </c:pt>
                <c:pt idx="32">
                  <c:v>45464</c:v>
                </c:pt>
                <c:pt idx="33">
                  <c:v>45465</c:v>
                </c:pt>
                <c:pt idx="34">
                  <c:v>45466</c:v>
                </c:pt>
                <c:pt idx="37">
                  <c:v>45467</c:v>
                </c:pt>
                <c:pt idx="38">
                  <c:v>45468</c:v>
                </c:pt>
                <c:pt idx="39">
                  <c:v>45469</c:v>
                </c:pt>
                <c:pt idx="40">
                  <c:v>45470</c:v>
                </c:pt>
                <c:pt idx="41">
                  <c:v>45471</c:v>
                </c:pt>
                <c:pt idx="42">
                  <c:v>45472</c:v>
                </c:pt>
                <c:pt idx="43">
                  <c:v>45473</c:v>
                </c:pt>
              </c:numCache>
            </c:numRef>
          </c:cat>
          <c:val>
            <c:numRef>
              <c:f>JUN!$U$5:$U$43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342C-5743-8B5F-F0CEB64AA9AA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JUN!$C$4:$D$47</c:f>
              <c:numCache>
                <c:formatCode>d;@</c:formatCode>
                <c:ptCount val="44"/>
                <c:pt idx="0">
                  <c:v>45438</c:v>
                </c:pt>
                <c:pt idx="1">
                  <c:v>45439</c:v>
                </c:pt>
                <c:pt idx="2">
                  <c:v>45440</c:v>
                </c:pt>
                <c:pt idx="3">
                  <c:v>45441</c:v>
                </c:pt>
                <c:pt idx="4">
                  <c:v>45442</c:v>
                </c:pt>
                <c:pt idx="5">
                  <c:v>45443</c:v>
                </c:pt>
                <c:pt idx="6">
                  <c:v>45444</c:v>
                </c:pt>
                <c:pt idx="7">
                  <c:v>45445</c:v>
                </c:pt>
                <c:pt idx="10">
                  <c:v>45446</c:v>
                </c:pt>
                <c:pt idx="11">
                  <c:v>45447</c:v>
                </c:pt>
                <c:pt idx="12">
                  <c:v>45448</c:v>
                </c:pt>
                <c:pt idx="13">
                  <c:v>45449</c:v>
                </c:pt>
                <c:pt idx="14">
                  <c:v>45450</c:v>
                </c:pt>
                <c:pt idx="15">
                  <c:v>45451</c:v>
                </c:pt>
                <c:pt idx="16">
                  <c:v>45452</c:v>
                </c:pt>
                <c:pt idx="19">
                  <c:v>45453</c:v>
                </c:pt>
                <c:pt idx="20">
                  <c:v>45454</c:v>
                </c:pt>
                <c:pt idx="21">
                  <c:v>45455</c:v>
                </c:pt>
                <c:pt idx="22">
                  <c:v>45456</c:v>
                </c:pt>
                <c:pt idx="23">
                  <c:v>45457</c:v>
                </c:pt>
                <c:pt idx="24">
                  <c:v>45458</c:v>
                </c:pt>
                <c:pt idx="25">
                  <c:v>45459</c:v>
                </c:pt>
                <c:pt idx="28">
                  <c:v>45460</c:v>
                </c:pt>
                <c:pt idx="29">
                  <c:v>45461</c:v>
                </c:pt>
                <c:pt idx="30">
                  <c:v>45462</c:v>
                </c:pt>
                <c:pt idx="31">
                  <c:v>45463</c:v>
                </c:pt>
                <c:pt idx="32">
                  <c:v>45464</c:v>
                </c:pt>
                <c:pt idx="33">
                  <c:v>45465</c:v>
                </c:pt>
                <c:pt idx="34">
                  <c:v>45466</c:v>
                </c:pt>
                <c:pt idx="37">
                  <c:v>45467</c:v>
                </c:pt>
                <c:pt idx="38">
                  <c:v>45468</c:v>
                </c:pt>
                <c:pt idx="39">
                  <c:v>45469</c:v>
                </c:pt>
                <c:pt idx="40">
                  <c:v>45470</c:v>
                </c:pt>
                <c:pt idx="41">
                  <c:v>45471</c:v>
                </c:pt>
                <c:pt idx="42">
                  <c:v>45472</c:v>
                </c:pt>
                <c:pt idx="43">
                  <c:v>45473</c:v>
                </c:pt>
              </c:numCache>
            </c:numRef>
          </c:cat>
          <c:val>
            <c:numRef>
              <c:f>JUN!$V$4:$V$47</c:f>
              <c:numCache>
                <c:formatCode>#,##0.00</c:formatCode>
                <c:ptCount val="44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42C-5743-8B5F-F0CEB64AA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473"/>
          <c:min val="45444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JUN!$O$53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9-E04B-9BE3-607CD2F86FC0}"/>
            </c:ext>
          </c:extLst>
        </c:ser>
        <c:ser>
          <c:idx val="1"/>
          <c:order val="1"/>
          <c:tx>
            <c:strRef>
              <c:f>JUN!$O$54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9-E04B-9BE3-607CD2F86FC0}"/>
            </c:ext>
          </c:extLst>
        </c:ser>
        <c:ser>
          <c:idx val="2"/>
          <c:order val="2"/>
          <c:tx>
            <c:strRef>
              <c:f>JUN!$O$55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59-E04B-9BE3-607CD2F86FC0}"/>
            </c:ext>
          </c:extLst>
        </c:ser>
        <c:ser>
          <c:idx val="4"/>
          <c:order val="3"/>
          <c:tx>
            <c:strRef>
              <c:f>JUN!$O$56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D959-E04B-9BE3-607CD2F86FC0}"/>
            </c:ext>
          </c:extLst>
        </c:ser>
        <c:ser>
          <c:idx val="6"/>
          <c:order val="4"/>
          <c:tx>
            <c:strRef>
              <c:f>JUN!$O$59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JUN!$P$52:$V$52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JUN!$P$59:$V$59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59-E04B-9BE3-607CD2F86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935680"/>
        <c:axId val="132937216"/>
      </c:barChart>
      <c:catAx>
        <c:axId val="1329356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32937216"/>
        <c:crosses val="autoZero"/>
        <c:auto val="0"/>
        <c:lblAlgn val="ctr"/>
        <c:lblOffset val="100"/>
        <c:noMultiLvlLbl val="0"/>
      </c:catAx>
      <c:valAx>
        <c:axId val="132937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32935680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413802034798441"/>
          <c:y val="0.2433143844993911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JUL!$C$4:$D$43</c:f>
              <c:numCache>
                <c:formatCode>d;@</c:formatCode>
                <c:ptCount val="40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  <c:pt idx="7">
                  <c:v>45480</c:v>
                </c:pt>
                <c:pt idx="10">
                  <c:v>45481</c:v>
                </c:pt>
                <c:pt idx="11">
                  <c:v>45482</c:v>
                </c:pt>
                <c:pt idx="12">
                  <c:v>45483</c:v>
                </c:pt>
                <c:pt idx="13">
                  <c:v>45484</c:v>
                </c:pt>
                <c:pt idx="14">
                  <c:v>45485</c:v>
                </c:pt>
                <c:pt idx="15">
                  <c:v>45486</c:v>
                </c:pt>
                <c:pt idx="16">
                  <c:v>45487</c:v>
                </c:pt>
                <c:pt idx="19">
                  <c:v>45488</c:v>
                </c:pt>
                <c:pt idx="20">
                  <c:v>45489</c:v>
                </c:pt>
                <c:pt idx="21">
                  <c:v>45490</c:v>
                </c:pt>
                <c:pt idx="22">
                  <c:v>45491</c:v>
                </c:pt>
                <c:pt idx="23">
                  <c:v>45492</c:v>
                </c:pt>
                <c:pt idx="24">
                  <c:v>45493</c:v>
                </c:pt>
                <c:pt idx="25">
                  <c:v>45494</c:v>
                </c:pt>
                <c:pt idx="28">
                  <c:v>45495</c:v>
                </c:pt>
                <c:pt idx="29">
                  <c:v>45496</c:v>
                </c:pt>
                <c:pt idx="30">
                  <c:v>45497</c:v>
                </c:pt>
                <c:pt idx="31">
                  <c:v>45498</c:v>
                </c:pt>
                <c:pt idx="32">
                  <c:v>45499</c:v>
                </c:pt>
                <c:pt idx="33">
                  <c:v>45500</c:v>
                </c:pt>
                <c:pt idx="34">
                  <c:v>45501</c:v>
                </c:pt>
                <c:pt idx="37">
                  <c:v>45502</c:v>
                </c:pt>
                <c:pt idx="38">
                  <c:v>45503</c:v>
                </c:pt>
                <c:pt idx="39">
                  <c:v>45504</c:v>
                </c:pt>
              </c:numCache>
            </c:numRef>
          </c:cat>
          <c:val>
            <c:numRef>
              <c:f>JUL!$Q$4:$Q$43</c:f>
              <c:numCache>
                <c:formatCode>#,##0.0</c:formatCode>
                <c:ptCount val="40"/>
                <c:pt idx="0">
                  <c:v>69142.086068221659</c:v>
                </c:pt>
                <c:pt idx="1">
                  <c:v>69142.086068221659</c:v>
                </c:pt>
                <c:pt idx="2">
                  <c:v>69142.086068221659</c:v>
                </c:pt>
                <c:pt idx="3">
                  <c:v>69142.086068221659</c:v>
                </c:pt>
                <c:pt idx="4">
                  <c:v>69142.086068221659</c:v>
                </c:pt>
                <c:pt idx="5">
                  <c:v>69142.086068221659</c:v>
                </c:pt>
                <c:pt idx="6">
                  <c:v>69142.086068221659</c:v>
                </c:pt>
                <c:pt idx="7">
                  <c:v>69142.086068221659</c:v>
                </c:pt>
                <c:pt idx="8">
                  <c:v>0</c:v>
                </c:pt>
                <c:pt idx="9">
                  <c:v>0</c:v>
                </c:pt>
                <c:pt idx="10">
                  <c:v>69142.086068221659</c:v>
                </c:pt>
                <c:pt idx="11">
                  <c:v>69142.086068221659</c:v>
                </c:pt>
                <c:pt idx="12">
                  <c:v>69142.086068221659</c:v>
                </c:pt>
                <c:pt idx="13">
                  <c:v>69142.086068221659</c:v>
                </c:pt>
                <c:pt idx="14">
                  <c:v>69142.086068221659</c:v>
                </c:pt>
                <c:pt idx="15">
                  <c:v>69142.086068221659</c:v>
                </c:pt>
                <c:pt idx="16">
                  <c:v>69142.086068221659</c:v>
                </c:pt>
                <c:pt idx="17">
                  <c:v>0</c:v>
                </c:pt>
                <c:pt idx="18">
                  <c:v>0</c:v>
                </c:pt>
                <c:pt idx="19">
                  <c:v>69142.086068221659</c:v>
                </c:pt>
                <c:pt idx="20">
                  <c:v>69142.086068221659</c:v>
                </c:pt>
                <c:pt idx="21">
                  <c:v>69142.086068221659</c:v>
                </c:pt>
                <c:pt idx="22">
                  <c:v>69142.086068221659</c:v>
                </c:pt>
                <c:pt idx="23">
                  <c:v>69142.086068221659</c:v>
                </c:pt>
                <c:pt idx="24">
                  <c:v>69142.086068221659</c:v>
                </c:pt>
                <c:pt idx="25">
                  <c:v>69142.086068221659</c:v>
                </c:pt>
                <c:pt idx="26">
                  <c:v>0</c:v>
                </c:pt>
                <c:pt idx="27">
                  <c:v>0</c:v>
                </c:pt>
                <c:pt idx="28">
                  <c:v>69142.086068221659</c:v>
                </c:pt>
                <c:pt idx="29">
                  <c:v>69142.086068221659</c:v>
                </c:pt>
                <c:pt idx="30">
                  <c:v>69142.086068221659</c:v>
                </c:pt>
                <c:pt idx="31">
                  <c:v>69142.086068221659</c:v>
                </c:pt>
                <c:pt idx="32">
                  <c:v>69142.086068221659</c:v>
                </c:pt>
                <c:pt idx="33">
                  <c:v>69142.086068221659</c:v>
                </c:pt>
                <c:pt idx="34">
                  <c:v>69142.086068221659</c:v>
                </c:pt>
                <c:pt idx="35">
                  <c:v>0</c:v>
                </c:pt>
                <c:pt idx="36">
                  <c:v>0</c:v>
                </c:pt>
                <c:pt idx="37">
                  <c:v>69142.086068221659</c:v>
                </c:pt>
                <c:pt idx="38">
                  <c:v>69142.086068221659</c:v>
                </c:pt>
                <c:pt idx="39">
                  <c:v>69142.086068221659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8D-EB41-8478-A73F67610115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JUL!$C$4:$D$43</c:f>
              <c:numCache>
                <c:formatCode>d;@</c:formatCode>
                <c:ptCount val="40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  <c:pt idx="7">
                  <c:v>45480</c:v>
                </c:pt>
                <c:pt idx="10">
                  <c:v>45481</c:v>
                </c:pt>
                <c:pt idx="11">
                  <c:v>45482</c:v>
                </c:pt>
                <c:pt idx="12">
                  <c:v>45483</c:v>
                </c:pt>
                <c:pt idx="13">
                  <c:v>45484</c:v>
                </c:pt>
                <c:pt idx="14">
                  <c:v>45485</c:v>
                </c:pt>
                <c:pt idx="15">
                  <c:v>45486</c:v>
                </c:pt>
                <c:pt idx="16">
                  <c:v>45487</c:v>
                </c:pt>
                <c:pt idx="19">
                  <c:v>45488</c:v>
                </c:pt>
                <c:pt idx="20">
                  <c:v>45489</c:v>
                </c:pt>
                <c:pt idx="21">
                  <c:v>45490</c:v>
                </c:pt>
                <c:pt idx="22">
                  <c:v>45491</c:v>
                </c:pt>
                <c:pt idx="23">
                  <c:v>45492</c:v>
                </c:pt>
                <c:pt idx="24">
                  <c:v>45493</c:v>
                </c:pt>
                <c:pt idx="25">
                  <c:v>45494</c:v>
                </c:pt>
                <c:pt idx="28">
                  <c:v>45495</c:v>
                </c:pt>
                <c:pt idx="29">
                  <c:v>45496</c:v>
                </c:pt>
                <c:pt idx="30">
                  <c:v>45497</c:v>
                </c:pt>
                <c:pt idx="31">
                  <c:v>45498</c:v>
                </c:pt>
                <c:pt idx="32">
                  <c:v>45499</c:v>
                </c:pt>
                <c:pt idx="33">
                  <c:v>45500</c:v>
                </c:pt>
                <c:pt idx="34">
                  <c:v>45501</c:v>
                </c:pt>
                <c:pt idx="37">
                  <c:v>45502</c:v>
                </c:pt>
                <c:pt idx="38">
                  <c:v>45503</c:v>
                </c:pt>
                <c:pt idx="39">
                  <c:v>45504</c:v>
                </c:pt>
              </c:numCache>
            </c:numRef>
          </c:cat>
          <c:val>
            <c:numRef>
              <c:f>JUL!$AB$4:$AB$43</c:f>
              <c:numCache>
                <c:formatCode>#,##0.0</c:formatCode>
                <c:ptCount val="4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8D-EB41-8478-A73F67610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9578752"/>
        <c:axId val="139588736"/>
      </c:lineChart>
      <c:dateAx>
        <c:axId val="139578752"/>
        <c:scaling>
          <c:orientation val="minMax"/>
          <c:max val="45504"/>
          <c:min val="45473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39588736"/>
        <c:crosses val="autoZero"/>
        <c:auto val="1"/>
        <c:lblOffset val="100"/>
        <c:baseTimeUnit val="days"/>
      </c:dateAx>
      <c:valAx>
        <c:axId val="139588736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3957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JUL!$B$4:$C$43</c:f>
              <c:numCache>
                <c:formatCode>d;@</c:formatCode>
                <c:ptCount val="40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  <c:pt idx="7">
                  <c:v>45480</c:v>
                </c:pt>
                <c:pt idx="10">
                  <c:v>45481</c:v>
                </c:pt>
                <c:pt idx="11">
                  <c:v>45482</c:v>
                </c:pt>
                <c:pt idx="12">
                  <c:v>45483</c:v>
                </c:pt>
                <c:pt idx="13">
                  <c:v>45484</c:v>
                </c:pt>
                <c:pt idx="14">
                  <c:v>45485</c:v>
                </c:pt>
                <c:pt idx="15">
                  <c:v>45486</c:v>
                </c:pt>
                <c:pt idx="16">
                  <c:v>45487</c:v>
                </c:pt>
                <c:pt idx="19">
                  <c:v>45488</c:v>
                </c:pt>
                <c:pt idx="20">
                  <c:v>45489</c:v>
                </c:pt>
                <c:pt idx="21">
                  <c:v>45490</c:v>
                </c:pt>
                <c:pt idx="22">
                  <c:v>45491</c:v>
                </c:pt>
                <c:pt idx="23">
                  <c:v>45492</c:v>
                </c:pt>
                <c:pt idx="24">
                  <c:v>45493</c:v>
                </c:pt>
                <c:pt idx="25">
                  <c:v>45494</c:v>
                </c:pt>
                <c:pt idx="28">
                  <c:v>45495</c:v>
                </c:pt>
                <c:pt idx="29">
                  <c:v>45496</c:v>
                </c:pt>
                <c:pt idx="30">
                  <c:v>45497</c:v>
                </c:pt>
                <c:pt idx="31">
                  <c:v>45498</c:v>
                </c:pt>
                <c:pt idx="32">
                  <c:v>45499</c:v>
                </c:pt>
                <c:pt idx="33">
                  <c:v>45500</c:v>
                </c:pt>
                <c:pt idx="34">
                  <c:v>45501</c:v>
                </c:pt>
                <c:pt idx="37">
                  <c:v>45502</c:v>
                </c:pt>
                <c:pt idx="38">
                  <c:v>45503</c:v>
                </c:pt>
                <c:pt idx="39">
                  <c:v>45504</c:v>
                </c:pt>
              </c:numCache>
            </c:numRef>
          </c:cat>
          <c:val>
            <c:numRef>
              <c:f>JUL!$R$4:$R$43</c:f>
              <c:numCache>
                <c:formatCode>#,##0.0</c:formatCode>
                <c:ptCount val="4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16-6E45-A0F9-9D6AFCA7BDB6}"/>
            </c:ext>
          </c:extLst>
        </c:ser>
        <c:ser>
          <c:idx val="1"/>
          <c:order val="1"/>
          <c:invertIfNegative val="0"/>
          <c:cat>
            <c:numRef>
              <c:f>JUL!$B$4:$C$43</c:f>
              <c:numCache>
                <c:formatCode>d;@</c:formatCode>
                <c:ptCount val="40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  <c:pt idx="7">
                  <c:v>45480</c:v>
                </c:pt>
                <c:pt idx="10">
                  <c:v>45481</c:v>
                </c:pt>
                <c:pt idx="11">
                  <c:v>45482</c:v>
                </c:pt>
                <c:pt idx="12">
                  <c:v>45483</c:v>
                </c:pt>
                <c:pt idx="13">
                  <c:v>45484</c:v>
                </c:pt>
                <c:pt idx="14">
                  <c:v>45485</c:v>
                </c:pt>
                <c:pt idx="15">
                  <c:v>45486</c:v>
                </c:pt>
                <c:pt idx="16">
                  <c:v>45487</c:v>
                </c:pt>
                <c:pt idx="19">
                  <c:v>45488</c:v>
                </c:pt>
                <c:pt idx="20">
                  <c:v>45489</c:v>
                </c:pt>
                <c:pt idx="21">
                  <c:v>45490</c:v>
                </c:pt>
                <c:pt idx="22">
                  <c:v>45491</c:v>
                </c:pt>
                <c:pt idx="23">
                  <c:v>45492</c:v>
                </c:pt>
                <c:pt idx="24">
                  <c:v>45493</c:v>
                </c:pt>
                <c:pt idx="25">
                  <c:v>45494</c:v>
                </c:pt>
                <c:pt idx="28">
                  <c:v>45495</c:v>
                </c:pt>
                <c:pt idx="29">
                  <c:v>45496</c:v>
                </c:pt>
                <c:pt idx="30">
                  <c:v>45497</c:v>
                </c:pt>
                <c:pt idx="31">
                  <c:v>45498</c:v>
                </c:pt>
                <c:pt idx="32">
                  <c:v>45499</c:v>
                </c:pt>
                <c:pt idx="33">
                  <c:v>45500</c:v>
                </c:pt>
                <c:pt idx="34">
                  <c:v>45501</c:v>
                </c:pt>
                <c:pt idx="37">
                  <c:v>45502</c:v>
                </c:pt>
                <c:pt idx="38">
                  <c:v>45503</c:v>
                </c:pt>
                <c:pt idx="39">
                  <c:v>45504</c:v>
                </c:pt>
              </c:numCache>
            </c:numRef>
          </c:cat>
          <c:val>
            <c:numRef>
              <c:f>JUL!$T$5:$T$43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416-6E45-A0F9-9D6AFCA7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JUL!$C$4:$D$43</c:f>
              <c:numCache>
                <c:formatCode>d;@</c:formatCode>
                <c:ptCount val="40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  <c:pt idx="7">
                  <c:v>45480</c:v>
                </c:pt>
                <c:pt idx="10">
                  <c:v>45481</c:v>
                </c:pt>
                <c:pt idx="11">
                  <c:v>45482</c:v>
                </c:pt>
                <c:pt idx="12">
                  <c:v>45483</c:v>
                </c:pt>
                <c:pt idx="13">
                  <c:v>45484</c:v>
                </c:pt>
                <c:pt idx="14">
                  <c:v>45485</c:v>
                </c:pt>
                <c:pt idx="15">
                  <c:v>45486</c:v>
                </c:pt>
                <c:pt idx="16">
                  <c:v>45487</c:v>
                </c:pt>
                <c:pt idx="19">
                  <c:v>45488</c:v>
                </c:pt>
                <c:pt idx="20">
                  <c:v>45489</c:v>
                </c:pt>
                <c:pt idx="21">
                  <c:v>45490</c:v>
                </c:pt>
                <c:pt idx="22">
                  <c:v>45491</c:v>
                </c:pt>
                <c:pt idx="23">
                  <c:v>45492</c:v>
                </c:pt>
                <c:pt idx="24">
                  <c:v>45493</c:v>
                </c:pt>
                <c:pt idx="25">
                  <c:v>45494</c:v>
                </c:pt>
                <c:pt idx="28">
                  <c:v>45495</c:v>
                </c:pt>
                <c:pt idx="29">
                  <c:v>45496</c:v>
                </c:pt>
                <c:pt idx="30">
                  <c:v>45497</c:v>
                </c:pt>
                <c:pt idx="31">
                  <c:v>45498</c:v>
                </c:pt>
                <c:pt idx="32">
                  <c:v>45499</c:v>
                </c:pt>
                <c:pt idx="33">
                  <c:v>45500</c:v>
                </c:pt>
                <c:pt idx="34">
                  <c:v>45501</c:v>
                </c:pt>
                <c:pt idx="37">
                  <c:v>45502</c:v>
                </c:pt>
                <c:pt idx="38">
                  <c:v>45503</c:v>
                </c:pt>
                <c:pt idx="39">
                  <c:v>45504</c:v>
                </c:pt>
              </c:numCache>
            </c:numRef>
          </c:cat>
          <c:val>
            <c:numRef>
              <c:f>JUL!$U$5:$U$43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416-6E45-A0F9-9D6AFCA7BDB6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JUL!$C$4:$D$43</c:f>
              <c:numCache>
                <c:formatCode>d;@</c:formatCode>
                <c:ptCount val="40"/>
                <c:pt idx="0">
                  <c:v>45473</c:v>
                </c:pt>
                <c:pt idx="1">
                  <c:v>45474</c:v>
                </c:pt>
                <c:pt idx="2">
                  <c:v>45475</c:v>
                </c:pt>
                <c:pt idx="3">
                  <c:v>45476</c:v>
                </c:pt>
                <c:pt idx="4">
                  <c:v>45477</c:v>
                </c:pt>
                <c:pt idx="5">
                  <c:v>45478</c:v>
                </c:pt>
                <c:pt idx="6">
                  <c:v>45479</c:v>
                </c:pt>
                <c:pt idx="7">
                  <c:v>45480</c:v>
                </c:pt>
                <c:pt idx="10">
                  <c:v>45481</c:v>
                </c:pt>
                <c:pt idx="11">
                  <c:v>45482</c:v>
                </c:pt>
                <c:pt idx="12">
                  <c:v>45483</c:v>
                </c:pt>
                <c:pt idx="13">
                  <c:v>45484</c:v>
                </c:pt>
                <c:pt idx="14">
                  <c:v>45485</c:v>
                </c:pt>
                <c:pt idx="15">
                  <c:v>45486</c:v>
                </c:pt>
                <c:pt idx="16">
                  <c:v>45487</c:v>
                </c:pt>
                <c:pt idx="19">
                  <c:v>45488</c:v>
                </c:pt>
                <c:pt idx="20">
                  <c:v>45489</c:v>
                </c:pt>
                <c:pt idx="21">
                  <c:v>45490</c:v>
                </c:pt>
                <c:pt idx="22">
                  <c:v>45491</c:v>
                </c:pt>
                <c:pt idx="23">
                  <c:v>45492</c:v>
                </c:pt>
                <c:pt idx="24">
                  <c:v>45493</c:v>
                </c:pt>
                <c:pt idx="25">
                  <c:v>45494</c:v>
                </c:pt>
                <c:pt idx="28">
                  <c:v>45495</c:v>
                </c:pt>
                <c:pt idx="29">
                  <c:v>45496</c:v>
                </c:pt>
                <c:pt idx="30">
                  <c:v>45497</c:v>
                </c:pt>
                <c:pt idx="31">
                  <c:v>45498</c:v>
                </c:pt>
                <c:pt idx="32">
                  <c:v>45499</c:v>
                </c:pt>
                <c:pt idx="33">
                  <c:v>45500</c:v>
                </c:pt>
                <c:pt idx="34">
                  <c:v>45501</c:v>
                </c:pt>
                <c:pt idx="37">
                  <c:v>45502</c:v>
                </c:pt>
                <c:pt idx="38">
                  <c:v>45503</c:v>
                </c:pt>
                <c:pt idx="39">
                  <c:v>45504</c:v>
                </c:pt>
              </c:numCache>
            </c:numRef>
          </c:cat>
          <c:val>
            <c:numRef>
              <c:f>JUL!$V$4:$V$43</c:f>
              <c:numCache>
                <c:formatCode>#,##0.00</c:formatCode>
                <c:ptCount val="4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416-6E45-A0F9-9D6AFCA7BD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504"/>
          <c:min val="45474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JUL!$O$53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JUL!$P$53:$V$53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 formatCode="#,##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9-ED4F-8ACF-E61694F50D47}"/>
            </c:ext>
          </c:extLst>
        </c:ser>
        <c:ser>
          <c:idx val="1"/>
          <c:order val="1"/>
          <c:tx>
            <c:strRef>
              <c:f>JUL!$O$54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9-ED4F-8ACF-E61694F50D47}"/>
            </c:ext>
          </c:extLst>
        </c:ser>
        <c:ser>
          <c:idx val="2"/>
          <c:order val="2"/>
          <c:tx>
            <c:strRef>
              <c:f>JUL!$O$55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D9-ED4F-8ACF-E61694F50D47}"/>
            </c:ext>
          </c:extLst>
        </c:ser>
        <c:ser>
          <c:idx val="4"/>
          <c:order val="3"/>
          <c:tx>
            <c:strRef>
              <c:f>JUL!$O$56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E3D9-ED4F-8ACF-E61694F50D47}"/>
            </c:ext>
          </c:extLst>
        </c:ser>
        <c:ser>
          <c:idx val="6"/>
          <c:order val="4"/>
          <c:tx>
            <c:strRef>
              <c:f>JUL!$O$59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JUL!$P$52:$V$52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JUL!$P$59:$V$59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D9-ED4F-8ACF-E61694F50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14400"/>
        <c:axId val="139815936"/>
      </c:barChart>
      <c:catAx>
        <c:axId val="13981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39815936"/>
        <c:crosses val="autoZero"/>
        <c:auto val="0"/>
        <c:lblAlgn val="ctr"/>
        <c:lblOffset val="100"/>
        <c:noMultiLvlLbl val="0"/>
      </c:catAx>
      <c:valAx>
        <c:axId val="139815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39814400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4186896895007"/>
          <c:y val="0.2589490143519294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2136828536902"/>
          <c:y val="6.0914028521229624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AUG!$C$7:$C$46</c:f>
              <c:numCache>
                <c:formatCode>d;@</c:formatCode>
                <c:ptCount val="40"/>
                <c:pt idx="0">
                  <c:v>45504</c:v>
                </c:pt>
                <c:pt idx="1">
                  <c:v>45505</c:v>
                </c:pt>
                <c:pt idx="2">
                  <c:v>45506</c:v>
                </c:pt>
                <c:pt idx="3">
                  <c:v>45507</c:v>
                </c:pt>
                <c:pt idx="4">
                  <c:v>45508</c:v>
                </c:pt>
                <c:pt idx="7">
                  <c:v>45509</c:v>
                </c:pt>
                <c:pt idx="8">
                  <c:v>45510</c:v>
                </c:pt>
                <c:pt idx="9">
                  <c:v>45511</c:v>
                </c:pt>
                <c:pt idx="10">
                  <c:v>45512</c:v>
                </c:pt>
                <c:pt idx="11">
                  <c:v>45513</c:v>
                </c:pt>
                <c:pt idx="12">
                  <c:v>45514</c:v>
                </c:pt>
                <c:pt idx="13">
                  <c:v>45515</c:v>
                </c:pt>
                <c:pt idx="16">
                  <c:v>45516</c:v>
                </c:pt>
                <c:pt idx="17">
                  <c:v>45517</c:v>
                </c:pt>
                <c:pt idx="18">
                  <c:v>45518</c:v>
                </c:pt>
                <c:pt idx="19">
                  <c:v>45519</c:v>
                </c:pt>
                <c:pt idx="20">
                  <c:v>45520</c:v>
                </c:pt>
                <c:pt idx="21">
                  <c:v>45521</c:v>
                </c:pt>
                <c:pt idx="22">
                  <c:v>45522</c:v>
                </c:pt>
                <c:pt idx="25">
                  <c:v>45523</c:v>
                </c:pt>
                <c:pt idx="26">
                  <c:v>45524</c:v>
                </c:pt>
                <c:pt idx="27">
                  <c:v>45525</c:v>
                </c:pt>
                <c:pt idx="28">
                  <c:v>45526</c:v>
                </c:pt>
                <c:pt idx="29">
                  <c:v>45527</c:v>
                </c:pt>
                <c:pt idx="30">
                  <c:v>45528</c:v>
                </c:pt>
                <c:pt idx="31">
                  <c:v>45529</c:v>
                </c:pt>
                <c:pt idx="34">
                  <c:v>45530</c:v>
                </c:pt>
                <c:pt idx="35">
                  <c:v>45531</c:v>
                </c:pt>
                <c:pt idx="36">
                  <c:v>45532</c:v>
                </c:pt>
                <c:pt idx="37">
                  <c:v>45533</c:v>
                </c:pt>
                <c:pt idx="38">
                  <c:v>45534</c:v>
                </c:pt>
                <c:pt idx="39">
                  <c:v>45535</c:v>
                </c:pt>
              </c:numCache>
            </c:numRef>
          </c:cat>
          <c:val>
            <c:numRef>
              <c:f>AUG!$Q$7:$Q$46</c:f>
              <c:numCache>
                <c:formatCode>#,##0.0</c:formatCode>
                <c:ptCount val="40"/>
                <c:pt idx="0">
                  <c:v>83150.359987125252</c:v>
                </c:pt>
                <c:pt idx="1">
                  <c:v>83150.359987125252</c:v>
                </c:pt>
                <c:pt idx="2">
                  <c:v>83150.359987125252</c:v>
                </c:pt>
                <c:pt idx="3">
                  <c:v>83150.359987125252</c:v>
                </c:pt>
                <c:pt idx="4">
                  <c:v>83150.359987125252</c:v>
                </c:pt>
                <c:pt idx="5">
                  <c:v>0</c:v>
                </c:pt>
                <c:pt idx="6">
                  <c:v>0</c:v>
                </c:pt>
                <c:pt idx="7">
                  <c:v>83150.359987125252</c:v>
                </c:pt>
                <c:pt idx="8">
                  <c:v>83150.359987125252</c:v>
                </c:pt>
                <c:pt idx="9">
                  <c:v>83150.359987125252</c:v>
                </c:pt>
                <c:pt idx="10">
                  <c:v>83150.359987125252</c:v>
                </c:pt>
                <c:pt idx="11">
                  <c:v>83150.359987125252</c:v>
                </c:pt>
                <c:pt idx="12">
                  <c:v>83150.359987125252</c:v>
                </c:pt>
                <c:pt idx="13">
                  <c:v>83150.359987125252</c:v>
                </c:pt>
                <c:pt idx="14">
                  <c:v>0</c:v>
                </c:pt>
                <c:pt idx="15">
                  <c:v>0</c:v>
                </c:pt>
                <c:pt idx="16">
                  <c:v>83150.359987125252</c:v>
                </c:pt>
                <c:pt idx="17">
                  <c:v>83150.359987125252</c:v>
                </c:pt>
                <c:pt idx="18">
                  <c:v>83150.359987125252</c:v>
                </c:pt>
                <c:pt idx="19">
                  <c:v>83150.359987125252</c:v>
                </c:pt>
                <c:pt idx="20">
                  <c:v>83150.359987125252</c:v>
                </c:pt>
                <c:pt idx="21">
                  <c:v>83150.359987125252</c:v>
                </c:pt>
                <c:pt idx="22">
                  <c:v>83150.359987125252</c:v>
                </c:pt>
                <c:pt idx="23">
                  <c:v>0</c:v>
                </c:pt>
                <c:pt idx="24">
                  <c:v>0</c:v>
                </c:pt>
                <c:pt idx="25">
                  <c:v>83150.359987125252</c:v>
                </c:pt>
                <c:pt idx="26">
                  <c:v>83150.359987125252</c:v>
                </c:pt>
                <c:pt idx="27">
                  <c:v>83150.359987125252</c:v>
                </c:pt>
                <c:pt idx="28">
                  <c:v>83150.359987125252</c:v>
                </c:pt>
                <c:pt idx="29">
                  <c:v>83150.359987125252</c:v>
                </c:pt>
                <c:pt idx="30">
                  <c:v>83150.359987125252</c:v>
                </c:pt>
                <c:pt idx="31">
                  <c:v>83150.359987125252</c:v>
                </c:pt>
                <c:pt idx="32">
                  <c:v>0</c:v>
                </c:pt>
                <c:pt idx="33">
                  <c:v>0</c:v>
                </c:pt>
                <c:pt idx="34">
                  <c:v>83150.359987125252</c:v>
                </c:pt>
                <c:pt idx="35">
                  <c:v>83150.359987125252</c:v>
                </c:pt>
                <c:pt idx="36">
                  <c:v>83150.359987125252</c:v>
                </c:pt>
                <c:pt idx="37">
                  <c:v>83150.359987125252</c:v>
                </c:pt>
                <c:pt idx="38">
                  <c:v>83150.359987125252</c:v>
                </c:pt>
                <c:pt idx="39">
                  <c:v>83150.359987125252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77-424E-A005-6407299163E9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AUG!$C$7:$C$46</c:f>
              <c:numCache>
                <c:formatCode>d;@</c:formatCode>
                <c:ptCount val="40"/>
                <c:pt idx="0">
                  <c:v>45504</c:v>
                </c:pt>
                <c:pt idx="1">
                  <c:v>45505</c:v>
                </c:pt>
                <c:pt idx="2">
                  <c:v>45506</c:v>
                </c:pt>
                <c:pt idx="3">
                  <c:v>45507</c:v>
                </c:pt>
                <c:pt idx="4">
                  <c:v>45508</c:v>
                </c:pt>
                <c:pt idx="7">
                  <c:v>45509</c:v>
                </c:pt>
                <c:pt idx="8">
                  <c:v>45510</c:v>
                </c:pt>
                <c:pt idx="9">
                  <c:v>45511</c:v>
                </c:pt>
                <c:pt idx="10">
                  <c:v>45512</c:v>
                </c:pt>
                <c:pt idx="11">
                  <c:v>45513</c:v>
                </c:pt>
                <c:pt idx="12">
                  <c:v>45514</c:v>
                </c:pt>
                <c:pt idx="13">
                  <c:v>45515</c:v>
                </c:pt>
                <c:pt idx="16">
                  <c:v>45516</c:v>
                </c:pt>
                <c:pt idx="17">
                  <c:v>45517</c:v>
                </c:pt>
                <c:pt idx="18">
                  <c:v>45518</c:v>
                </c:pt>
                <c:pt idx="19">
                  <c:v>45519</c:v>
                </c:pt>
                <c:pt idx="20">
                  <c:v>45520</c:v>
                </c:pt>
                <c:pt idx="21">
                  <c:v>45521</c:v>
                </c:pt>
                <c:pt idx="22">
                  <c:v>45522</c:v>
                </c:pt>
                <c:pt idx="25">
                  <c:v>45523</c:v>
                </c:pt>
                <c:pt idx="26">
                  <c:v>45524</c:v>
                </c:pt>
                <c:pt idx="27">
                  <c:v>45525</c:v>
                </c:pt>
                <c:pt idx="28">
                  <c:v>45526</c:v>
                </c:pt>
                <c:pt idx="29">
                  <c:v>45527</c:v>
                </c:pt>
                <c:pt idx="30">
                  <c:v>45528</c:v>
                </c:pt>
                <c:pt idx="31">
                  <c:v>45529</c:v>
                </c:pt>
                <c:pt idx="34">
                  <c:v>45530</c:v>
                </c:pt>
                <c:pt idx="35">
                  <c:v>45531</c:v>
                </c:pt>
                <c:pt idx="36">
                  <c:v>45532</c:v>
                </c:pt>
                <c:pt idx="37">
                  <c:v>45533</c:v>
                </c:pt>
                <c:pt idx="38">
                  <c:v>45534</c:v>
                </c:pt>
                <c:pt idx="39">
                  <c:v>45535</c:v>
                </c:pt>
              </c:numCache>
            </c:numRef>
          </c:cat>
          <c:val>
            <c:numRef>
              <c:f>AUG!$AB$7:$AB$46</c:f>
              <c:numCache>
                <c:formatCode>#,##0.0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77-424E-A005-6407299163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333056"/>
        <c:axId val="146338944"/>
      </c:lineChart>
      <c:dateAx>
        <c:axId val="146333056"/>
        <c:scaling>
          <c:orientation val="minMax"/>
          <c:max val="45535"/>
          <c:min val="45504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46338944"/>
        <c:crosses val="autoZero"/>
        <c:auto val="1"/>
        <c:lblOffset val="100"/>
        <c:baseTimeUnit val="days"/>
      </c:dateAx>
      <c:valAx>
        <c:axId val="14633894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46333056"/>
        <c:crossesAt val="43312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AUG!$C$8:$D$46</c:f>
              <c:numCache>
                <c:formatCode>d;@</c:formatCode>
                <c:ptCount val="39"/>
                <c:pt idx="0">
                  <c:v>45505</c:v>
                </c:pt>
                <c:pt idx="1">
                  <c:v>45506</c:v>
                </c:pt>
                <c:pt idx="2">
                  <c:v>45507</c:v>
                </c:pt>
                <c:pt idx="3">
                  <c:v>45508</c:v>
                </c:pt>
                <c:pt idx="6">
                  <c:v>45509</c:v>
                </c:pt>
                <c:pt idx="7">
                  <c:v>45510</c:v>
                </c:pt>
                <c:pt idx="8">
                  <c:v>45511</c:v>
                </c:pt>
                <c:pt idx="9">
                  <c:v>45512</c:v>
                </c:pt>
                <c:pt idx="10">
                  <c:v>45513</c:v>
                </c:pt>
                <c:pt idx="11">
                  <c:v>45514</c:v>
                </c:pt>
                <c:pt idx="12">
                  <c:v>45515</c:v>
                </c:pt>
                <c:pt idx="15">
                  <c:v>45516</c:v>
                </c:pt>
                <c:pt idx="16">
                  <c:v>45517</c:v>
                </c:pt>
                <c:pt idx="17">
                  <c:v>45518</c:v>
                </c:pt>
                <c:pt idx="18">
                  <c:v>45519</c:v>
                </c:pt>
                <c:pt idx="19">
                  <c:v>45520</c:v>
                </c:pt>
                <c:pt idx="20">
                  <c:v>45521</c:v>
                </c:pt>
                <c:pt idx="21">
                  <c:v>45522</c:v>
                </c:pt>
                <c:pt idx="24">
                  <c:v>45523</c:v>
                </c:pt>
                <c:pt idx="25">
                  <c:v>45524</c:v>
                </c:pt>
                <c:pt idx="26">
                  <c:v>45525</c:v>
                </c:pt>
                <c:pt idx="27">
                  <c:v>45526</c:v>
                </c:pt>
                <c:pt idx="28">
                  <c:v>45527</c:v>
                </c:pt>
                <c:pt idx="29">
                  <c:v>45528</c:v>
                </c:pt>
                <c:pt idx="30">
                  <c:v>45529</c:v>
                </c:pt>
                <c:pt idx="33">
                  <c:v>45530</c:v>
                </c:pt>
                <c:pt idx="34">
                  <c:v>45531</c:v>
                </c:pt>
                <c:pt idx="35">
                  <c:v>45532</c:v>
                </c:pt>
                <c:pt idx="36">
                  <c:v>45533</c:v>
                </c:pt>
                <c:pt idx="37">
                  <c:v>45534</c:v>
                </c:pt>
                <c:pt idx="38">
                  <c:v>45535</c:v>
                </c:pt>
              </c:numCache>
            </c:numRef>
          </c:cat>
          <c:val>
            <c:numRef>
              <c:f>AUG!$R$8:$R$46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F84A-9063-BE57E97A50F3}"/>
            </c:ext>
          </c:extLst>
        </c:ser>
        <c:ser>
          <c:idx val="1"/>
          <c:order val="1"/>
          <c:invertIfNegative val="0"/>
          <c:cat>
            <c:numRef>
              <c:f>AUG!$C$8:$D$46</c:f>
              <c:numCache>
                <c:formatCode>d;@</c:formatCode>
                <c:ptCount val="39"/>
                <c:pt idx="0">
                  <c:v>45505</c:v>
                </c:pt>
                <c:pt idx="1">
                  <c:v>45506</c:v>
                </c:pt>
                <c:pt idx="2">
                  <c:v>45507</c:v>
                </c:pt>
                <c:pt idx="3">
                  <c:v>45508</c:v>
                </c:pt>
                <c:pt idx="6">
                  <c:v>45509</c:v>
                </c:pt>
                <c:pt idx="7">
                  <c:v>45510</c:v>
                </c:pt>
                <c:pt idx="8">
                  <c:v>45511</c:v>
                </c:pt>
                <c:pt idx="9">
                  <c:v>45512</c:v>
                </c:pt>
                <c:pt idx="10">
                  <c:v>45513</c:v>
                </c:pt>
                <c:pt idx="11">
                  <c:v>45514</c:v>
                </c:pt>
                <c:pt idx="12">
                  <c:v>45515</c:v>
                </c:pt>
                <c:pt idx="15">
                  <c:v>45516</c:v>
                </c:pt>
                <c:pt idx="16">
                  <c:v>45517</c:v>
                </c:pt>
                <c:pt idx="17">
                  <c:v>45518</c:v>
                </c:pt>
                <c:pt idx="18">
                  <c:v>45519</c:v>
                </c:pt>
                <c:pt idx="19">
                  <c:v>45520</c:v>
                </c:pt>
                <c:pt idx="20">
                  <c:v>45521</c:v>
                </c:pt>
                <c:pt idx="21">
                  <c:v>45522</c:v>
                </c:pt>
                <c:pt idx="24">
                  <c:v>45523</c:v>
                </c:pt>
                <c:pt idx="25">
                  <c:v>45524</c:v>
                </c:pt>
                <c:pt idx="26">
                  <c:v>45525</c:v>
                </c:pt>
                <c:pt idx="27">
                  <c:v>45526</c:v>
                </c:pt>
                <c:pt idx="28">
                  <c:v>45527</c:v>
                </c:pt>
                <c:pt idx="29">
                  <c:v>45528</c:v>
                </c:pt>
                <c:pt idx="30">
                  <c:v>45529</c:v>
                </c:pt>
                <c:pt idx="33">
                  <c:v>45530</c:v>
                </c:pt>
                <c:pt idx="34">
                  <c:v>45531</c:v>
                </c:pt>
                <c:pt idx="35">
                  <c:v>45532</c:v>
                </c:pt>
                <c:pt idx="36">
                  <c:v>45533</c:v>
                </c:pt>
                <c:pt idx="37">
                  <c:v>45534</c:v>
                </c:pt>
                <c:pt idx="38">
                  <c:v>45535</c:v>
                </c:pt>
              </c:numCache>
            </c:numRef>
          </c:cat>
          <c:val>
            <c:numRef>
              <c:f>AUG!$T$8:$T$46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5D1-F84A-9063-BE57E97A5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AUG!$C$8:$D$46</c:f>
              <c:numCache>
                <c:formatCode>d;@</c:formatCode>
                <c:ptCount val="39"/>
                <c:pt idx="0">
                  <c:v>45505</c:v>
                </c:pt>
                <c:pt idx="1">
                  <c:v>45506</c:v>
                </c:pt>
                <c:pt idx="2">
                  <c:v>45507</c:v>
                </c:pt>
                <c:pt idx="3">
                  <c:v>45508</c:v>
                </c:pt>
                <c:pt idx="6">
                  <c:v>45509</c:v>
                </c:pt>
                <c:pt idx="7">
                  <c:v>45510</c:v>
                </c:pt>
                <c:pt idx="8">
                  <c:v>45511</c:v>
                </c:pt>
                <c:pt idx="9">
                  <c:v>45512</c:v>
                </c:pt>
                <c:pt idx="10">
                  <c:v>45513</c:v>
                </c:pt>
                <c:pt idx="11">
                  <c:v>45514</c:v>
                </c:pt>
                <c:pt idx="12">
                  <c:v>45515</c:v>
                </c:pt>
                <c:pt idx="15">
                  <c:v>45516</c:v>
                </c:pt>
                <c:pt idx="16">
                  <c:v>45517</c:v>
                </c:pt>
                <c:pt idx="17">
                  <c:v>45518</c:v>
                </c:pt>
                <c:pt idx="18">
                  <c:v>45519</c:v>
                </c:pt>
                <c:pt idx="19">
                  <c:v>45520</c:v>
                </c:pt>
                <c:pt idx="20">
                  <c:v>45521</c:v>
                </c:pt>
                <c:pt idx="21">
                  <c:v>45522</c:v>
                </c:pt>
                <c:pt idx="24">
                  <c:v>45523</c:v>
                </c:pt>
                <c:pt idx="25">
                  <c:v>45524</c:v>
                </c:pt>
                <c:pt idx="26">
                  <c:v>45525</c:v>
                </c:pt>
                <c:pt idx="27">
                  <c:v>45526</c:v>
                </c:pt>
                <c:pt idx="28">
                  <c:v>45527</c:v>
                </c:pt>
                <c:pt idx="29">
                  <c:v>45528</c:v>
                </c:pt>
                <c:pt idx="30">
                  <c:v>45529</c:v>
                </c:pt>
                <c:pt idx="33">
                  <c:v>45530</c:v>
                </c:pt>
                <c:pt idx="34">
                  <c:v>45531</c:v>
                </c:pt>
                <c:pt idx="35">
                  <c:v>45532</c:v>
                </c:pt>
                <c:pt idx="36">
                  <c:v>45533</c:v>
                </c:pt>
                <c:pt idx="37">
                  <c:v>45534</c:v>
                </c:pt>
                <c:pt idx="38">
                  <c:v>45535</c:v>
                </c:pt>
              </c:numCache>
            </c:numRef>
          </c:cat>
          <c:val>
            <c:numRef>
              <c:f>AUG!$U$8:$U$46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5D1-F84A-9063-BE57E97A50F3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AUG!$C$8:$D$46</c:f>
              <c:numCache>
                <c:formatCode>d;@</c:formatCode>
                <c:ptCount val="39"/>
                <c:pt idx="0">
                  <c:v>45505</c:v>
                </c:pt>
                <c:pt idx="1">
                  <c:v>45506</c:v>
                </c:pt>
                <c:pt idx="2">
                  <c:v>45507</c:v>
                </c:pt>
                <c:pt idx="3">
                  <c:v>45508</c:v>
                </c:pt>
                <c:pt idx="6">
                  <c:v>45509</c:v>
                </c:pt>
                <c:pt idx="7">
                  <c:v>45510</c:v>
                </c:pt>
                <c:pt idx="8">
                  <c:v>45511</c:v>
                </c:pt>
                <c:pt idx="9">
                  <c:v>45512</c:v>
                </c:pt>
                <c:pt idx="10">
                  <c:v>45513</c:v>
                </c:pt>
                <c:pt idx="11">
                  <c:v>45514</c:v>
                </c:pt>
                <c:pt idx="12">
                  <c:v>45515</c:v>
                </c:pt>
                <c:pt idx="15">
                  <c:v>45516</c:v>
                </c:pt>
                <c:pt idx="16">
                  <c:v>45517</c:v>
                </c:pt>
                <c:pt idx="17">
                  <c:v>45518</c:v>
                </c:pt>
                <c:pt idx="18">
                  <c:v>45519</c:v>
                </c:pt>
                <c:pt idx="19">
                  <c:v>45520</c:v>
                </c:pt>
                <c:pt idx="20">
                  <c:v>45521</c:v>
                </c:pt>
                <c:pt idx="21">
                  <c:v>45522</c:v>
                </c:pt>
                <c:pt idx="24">
                  <c:v>45523</c:v>
                </c:pt>
                <c:pt idx="25">
                  <c:v>45524</c:v>
                </c:pt>
                <c:pt idx="26">
                  <c:v>45525</c:v>
                </c:pt>
                <c:pt idx="27">
                  <c:v>45526</c:v>
                </c:pt>
                <c:pt idx="28">
                  <c:v>45527</c:v>
                </c:pt>
                <c:pt idx="29">
                  <c:v>45528</c:v>
                </c:pt>
                <c:pt idx="30">
                  <c:v>45529</c:v>
                </c:pt>
                <c:pt idx="33">
                  <c:v>45530</c:v>
                </c:pt>
                <c:pt idx="34">
                  <c:v>45531</c:v>
                </c:pt>
                <c:pt idx="35">
                  <c:v>45532</c:v>
                </c:pt>
                <c:pt idx="36">
                  <c:v>45533</c:v>
                </c:pt>
                <c:pt idx="37">
                  <c:v>45534</c:v>
                </c:pt>
                <c:pt idx="38">
                  <c:v>45535</c:v>
                </c:pt>
              </c:numCache>
            </c:numRef>
          </c:cat>
          <c:val>
            <c:numRef>
              <c:f>AUG!$V$8:$V$46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D1-F84A-9063-BE57E97A5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535"/>
          <c:min val="45505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AUG!$O$53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7-F141-ABCB-46E0EBB4CE13}"/>
            </c:ext>
          </c:extLst>
        </c:ser>
        <c:ser>
          <c:idx val="1"/>
          <c:order val="1"/>
          <c:tx>
            <c:strRef>
              <c:f>AUG!$O$54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7-F141-ABCB-46E0EBB4CE13}"/>
            </c:ext>
          </c:extLst>
        </c:ser>
        <c:ser>
          <c:idx val="2"/>
          <c:order val="2"/>
          <c:tx>
            <c:strRef>
              <c:f>AUG!$O$55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07-F141-ABCB-46E0EBB4CE13}"/>
            </c:ext>
          </c:extLst>
        </c:ser>
        <c:ser>
          <c:idx val="4"/>
          <c:order val="3"/>
          <c:tx>
            <c:strRef>
              <c:f>AUG!$O$56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9F07-F141-ABCB-46E0EBB4CE13}"/>
            </c:ext>
          </c:extLst>
        </c:ser>
        <c:ser>
          <c:idx val="6"/>
          <c:order val="4"/>
          <c:tx>
            <c:strRef>
              <c:f>AUG!$O$59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AUG!$P$52:$V$52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AUG!$P$59:$V$59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07-F141-ABCB-46E0EBB4CE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417344"/>
        <c:axId val="147443712"/>
      </c:barChart>
      <c:catAx>
        <c:axId val="14741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47443712"/>
        <c:crosses val="autoZero"/>
        <c:auto val="0"/>
        <c:lblAlgn val="ctr"/>
        <c:lblOffset val="100"/>
        <c:noMultiLvlLbl val="0"/>
      </c:catAx>
      <c:valAx>
        <c:axId val="14744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47417344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591293049988317"/>
          <c:y val="0.26862000858476087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SEP!$C$10:$C$50</c:f>
              <c:numCache>
                <c:formatCode>d;@</c:formatCode>
                <c:ptCount val="41"/>
                <c:pt idx="0">
                  <c:v>45535</c:v>
                </c:pt>
                <c:pt idx="1">
                  <c:v>45536</c:v>
                </c:pt>
                <c:pt idx="4">
                  <c:v>45537</c:v>
                </c:pt>
                <c:pt idx="5">
                  <c:v>45538</c:v>
                </c:pt>
                <c:pt idx="6">
                  <c:v>45539</c:v>
                </c:pt>
                <c:pt idx="7">
                  <c:v>45540</c:v>
                </c:pt>
                <c:pt idx="8">
                  <c:v>45541</c:v>
                </c:pt>
                <c:pt idx="9">
                  <c:v>45542</c:v>
                </c:pt>
                <c:pt idx="10">
                  <c:v>45543</c:v>
                </c:pt>
                <c:pt idx="13">
                  <c:v>45544</c:v>
                </c:pt>
                <c:pt idx="14">
                  <c:v>45545</c:v>
                </c:pt>
                <c:pt idx="15">
                  <c:v>45546</c:v>
                </c:pt>
                <c:pt idx="16">
                  <c:v>45547</c:v>
                </c:pt>
                <c:pt idx="17">
                  <c:v>45548</c:v>
                </c:pt>
                <c:pt idx="18">
                  <c:v>45549</c:v>
                </c:pt>
                <c:pt idx="19">
                  <c:v>45550</c:v>
                </c:pt>
                <c:pt idx="22">
                  <c:v>45551</c:v>
                </c:pt>
                <c:pt idx="23">
                  <c:v>45552</c:v>
                </c:pt>
                <c:pt idx="24">
                  <c:v>45553</c:v>
                </c:pt>
                <c:pt idx="25">
                  <c:v>45554</c:v>
                </c:pt>
                <c:pt idx="26">
                  <c:v>45555</c:v>
                </c:pt>
                <c:pt idx="27">
                  <c:v>45556</c:v>
                </c:pt>
                <c:pt idx="28">
                  <c:v>45557</c:v>
                </c:pt>
                <c:pt idx="31">
                  <c:v>45558</c:v>
                </c:pt>
                <c:pt idx="32">
                  <c:v>45559</c:v>
                </c:pt>
                <c:pt idx="33">
                  <c:v>45560</c:v>
                </c:pt>
                <c:pt idx="34">
                  <c:v>45561</c:v>
                </c:pt>
                <c:pt idx="35">
                  <c:v>45562</c:v>
                </c:pt>
                <c:pt idx="36">
                  <c:v>45563</c:v>
                </c:pt>
                <c:pt idx="37">
                  <c:v>45564</c:v>
                </c:pt>
                <c:pt idx="40">
                  <c:v>45565</c:v>
                </c:pt>
              </c:numCache>
            </c:numRef>
          </c:cat>
          <c:val>
            <c:numRef>
              <c:f>SEP!$Q$10:$Q$50</c:f>
              <c:numCache>
                <c:formatCode>#,##0.0</c:formatCode>
                <c:ptCount val="41"/>
                <c:pt idx="0">
                  <c:v>100914.78556569738</c:v>
                </c:pt>
                <c:pt idx="1">
                  <c:v>100914.78556569738</c:v>
                </c:pt>
                <c:pt idx="2">
                  <c:v>0</c:v>
                </c:pt>
                <c:pt idx="3">
                  <c:v>0</c:v>
                </c:pt>
                <c:pt idx="4">
                  <c:v>100914.78556569738</c:v>
                </c:pt>
                <c:pt idx="5">
                  <c:v>100914.78556569738</c:v>
                </c:pt>
                <c:pt idx="6">
                  <c:v>100914.78556569738</c:v>
                </c:pt>
                <c:pt idx="7">
                  <c:v>100914.78556569738</c:v>
                </c:pt>
                <c:pt idx="8">
                  <c:v>100914.78556569738</c:v>
                </c:pt>
                <c:pt idx="9">
                  <c:v>100914.78556569738</c:v>
                </c:pt>
                <c:pt idx="10">
                  <c:v>100914.78556569738</c:v>
                </c:pt>
                <c:pt idx="11">
                  <c:v>0</c:v>
                </c:pt>
                <c:pt idx="12">
                  <c:v>0</c:v>
                </c:pt>
                <c:pt idx="13">
                  <c:v>100914.78556569738</c:v>
                </c:pt>
                <c:pt idx="14">
                  <c:v>100914.78556569738</c:v>
                </c:pt>
                <c:pt idx="15">
                  <c:v>100914.78556569738</c:v>
                </c:pt>
                <c:pt idx="16">
                  <c:v>100914.78556569738</c:v>
                </c:pt>
                <c:pt idx="17">
                  <c:v>100914.78556569738</c:v>
                </c:pt>
                <c:pt idx="18">
                  <c:v>100914.78556569738</c:v>
                </c:pt>
                <c:pt idx="19">
                  <c:v>100914.78556569738</c:v>
                </c:pt>
                <c:pt idx="20">
                  <c:v>0</c:v>
                </c:pt>
                <c:pt idx="21">
                  <c:v>0</c:v>
                </c:pt>
                <c:pt idx="22">
                  <c:v>100914.78556569738</c:v>
                </c:pt>
                <c:pt idx="23">
                  <c:v>100914.78556569738</c:v>
                </c:pt>
                <c:pt idx="24">
                  <c:v>100914.78556569738</c:v>
                </c:pt>
                <c:pt idx="25">
                  <c:v>100914.78556569738</c:v>
                </c:pt>
                <c:pt idx="26">
                  <c:v>100914.78556569738</c:v>
                </c:pt>
                <c:pt idx="27">
                  <c:v>100914.78556569738</c:v>
                </c:pt>
                <c:pt idx="28">
                  <c:v>100914.78556569738</c:v>
                </c:pt>
                <c:pt idx="29">
                  <c:v>0</c:v>
                </c:pt>
                <c:pt idx="30">
                  <c:v>0</c:v>
                </c:pt>
                <c:pt idx="31">
                  <c:v>100914.78556569738</c:v>
                </c:pt>
                <c:pt idx="32">
                  <c:v>100914.78556569738</c:v>
                </c:pt>
                <c:pt idx="33">
                  <c:v>100914.78556569738</c:v>
                </c:pt>
                <c:pt idx="34">
                  <c:v>100914.78556569738</c:v>
                </c:pt>
                <c:pt idx="35">
                  <c:v>100914.78556569738</c:v>
                </c:pt>
                <c:pt idx="36">
                  <c:v>100914.78556569738</c:v>
                </c:pt>
                <c:pt idx="37">
                  <c:v>100914.78556569738</c:v>
                </c:pt>
                <c:pt idx="38">
                  <c:v>0</c:v>
                </c:pt>
                <c:pt idx="39">
                  <c:v>0</c:v>
                </c:pt>
                <c:pt idx="40">
                  <c:v>100914.78556569738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1D-F443-AE19-F508DAB252AE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SEP!$C$10:$C$50</c:f>
              <c:numCache>
                <c:formatCode>d;@</c:formatCode>
                <c:ptCount val="41"/>
                <c:pt idx="0">
                  <c:v>45535</c:v>
                </c:pt>
                <c:pt idx="1">
                  <c:v>45536</c:v>
                </c:pt>
                <c:pt idx="4">
                  <c:v>45537</c:v>
                </c:pt>
                <c:pt idx="5">
                  <c:v>45538</c:v>
                </c:pt>
                <c:pt idx="6">
                  <c:v>45539</c:v>
                </c:pt>
                <c:pt idx="7">
                  <c:v>45540</c:v>
                </c:pt>
                <c:pt idx="8">
                  <c:v>45541</c:v>
                </c:pt>
                <c:pt idx="9">
                  <c:v>45542</c:v>
                </c:pt>
                <c:pt idx="10">
                  <c:v>45543</c:v>
                </c:pt>
                <c:pt idx="13">
                  <c:v>45544</c:v>
                </c:pt>
                <c:pt idx="14">
                  <c:v>45545</c:v>
                </c:pt>
                <c:pt idx="15">
                  <c:v>45546</c:v>
                </c:pt>
                <c:pt idx="16">
                  <c:v>45547</c:v>
                </c:pt>
                <c:pt idx="17">
                  <c:v>45548</c:v>
                </c:pt>
                <c:pt idx="18">
                  <c:v>45549</c:v>
                </c:pt>
                <c:pt idx="19">
                  <c:v>45550</c:v>
                </c:pt>
                <c:pt idx="22">
                  <c:v>45551</c:v>
                </c:pt>
                <c:pt idx="23">
                  <c:v>45552</c:v>
                </c:pt>
                <c:pt idx="24">
                  <c:v>45553</c:v>
                </c:pt>
                <c:pt idx="25">
                  <c:v>45554</c:v>
                </c:pt>
                <c:pt idx="26">
                  <c:v>45555</c:v>
                </c:pt>
                <c:pt idx="27">
                  <c:v>45556</c:v>
                </c:pt>
                <c:pt idx="28">
                  <c:v>45557</c:v>
                </c:pt>
                <c:pt idx="31">
                  <c:v>45558</c:v>
                </c:pt>
                <c:pt idx="32">
                  <c:v>45559</c:v>
                </c:pt>
                <c:pt idx="33">
                  <c:v>45560</c:v>
                </c:pt>
                <c:pt idx="34">
                  <c:v>45561</c:v>
                </c:pt>
                <c:pt idx="35">
                  <c:v>45562</c:v>
                </c:pt>
                <c:pt idx="36">
                  <c:v>45563</c:v>
                </c:pt>
                <c:pt idx="37">
                  <c:v>45564</c:v>
                </c:pt>
                <c:pt idx="40">
                  <c:v>45565</c:v>
                </c:pt>
              </c:numCache>
            </c:numRef>
          </c:cat>
          <c:val>
            <c:numRef>
              <c:f>SEP!$AB$10:$AB$50</c:f>
              <c:numCache>
                <c:formatCode>#,##0.0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1D-F443-AE19-F508DAB25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836736"/>
        <c:axId val="148838272"/>
      </c:lineChart>
      <c:dateAx>
        <c:axId val="148836736"/>
        <c:scaling>
          <c:orientation val="minMax"/>
          <c:max val="45565"/>
          <c:min val="45535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48838272"/>
        <c:crosses val="autoZero"/>
        <c:auto val="1"/>
        <c:lblOffset val="100"/>
        <c:baseTimeUnit val="days"/>
      </c:dateAx>
      <c:valAx>
        <c:axId val="148838272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48836736"/>
        <c:crossesAt val="43708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96585190963418699"/>
          <c:y val="9.5474694381518191E-2"/>
          <c:w val="3.3288249821324903E-2"/>
          <c:h val="0.88201545753547117"/>
        </c:manualLayout>
      </c:layout>
      <c:barChart>
        <c:barDir val="col"/>
        <c:grouping val="clustered"/>
        <c:varyColors val="0"/>
        <c:ser>
          <c:idx val="0"/>
          <c:order val="0"/>
          <c:spPr>
            <a:noFill/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noFill/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7D-124E-8809-B496078B8C22}"/>
              </c:ext>
            </c:extLst>
          </c:dPt>
          <c:dLbls>
            <c:dLbl>
              <c:idx val="0"/>
              <c:layout>
                <c:manualLayout>
                  <c:x val="1.6043496278797087E-2"/>
                  <c:y val="-5.391368258678516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740742354264501E-2"/>
                      <c:h val="4.794070723781537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67D-124E-8809-B496078B8C22}"/>
                </c:ext>
              </c:extLst>
            </c:dLbl>
            <c:dLbl>
              <c:idx val="1"/>
              <c:layout>
                <c:manualLayout>
                  <c:x val="6.7546155811997299E-2"/>
                  <c:y val="-1.6764389612961596E-2"/>
                </c:manualLayout>
              </c:layout>
              <c:spPr>
                <a:blipFill dpi="0" rotWithShape="1">
                  <a:blip xmlns:r="http://schemas.openxmlformats.org/officeDocument/2006/relationships" r:embed="rId1">
                    <a:alphaModFix amt="0"/>
                  </a:blip>
                  <a:srcRect/>
                  <a:tile tx="0" ty="0" sx="100000" sy="100000" flip="none" algn="tl"/>
                </a:blipFill>
                <a:ln>
                  <a:noFill/>
                </a:ln>
                <a:effectLst/>
              </c:spPr>
              <c:txPr>
                <a:bodyPr lIns="0" tIns="46800" rIns="0" anchorCtr="0"/>
                <a:lstStyle/>
                <a:p>
                  <a:pPr algn="r">
                    <a:defRPr sz="1000" b="1" i="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>
                    <c:manualLayout>
                      <c:w val="3.2493366044898248E-2"/>
                      <c:h val="4.917140919213521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67D-124E-8809-B496078B8C22}"/>
                </c:ext>
              </c:extLst>
            </c:dLbl>
            <c:dLbl>
              <c:idx val="2"/>
              <c:layout>
                <c:manualLayout>
                  <c:x val="6.1691826763234023E-2"/>
                  <c:y val="-9.690041019852871E-3"/>
                </c:manualLayout>
              </c:layout>
              <c:spPr>
                <a:blipFill dpi="0" rotWithShape="1">
                  <a:blip xmlns:r="http://schemas.openxmlformats.org/officeDocument/2006/relationships" r:embed="rId1">
                    <a:alphaModFix amt="0"/>
                  </a:blip>
                  <a:srcRect/>
                  <a:tile tx="0" ty="0" sx="100000" sy="100000" flip="none" algn="tl"/>
                </a:blipFill>
                <a:ln>
                  <a:noFill/>
                </a:ln>
              </c:spPr>
              <c:txPr>
                <a:bodyPr tIns="46800" rIns="0" anchorCtr="0"/>
                <a:lstStyle/>
                <a:p>
                  <a:pPr algn="r">
                    <a:defRPr sz="1000" b="1" i="0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867D-124E-8809-B496078B8C22}"/>
                </c:ext>
              </c:extLst>
            </c:dLbl>
            <c:dLbl>
              <c:idx val="3"/>
              <c:layout>
                <c:manualLayout>
                  <c:x val="5.5708799237343488E-2"/>
                  <c:y val="-5.0896854862504826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67D-124E-8809-B496078B8C22}"/>
                </c:ext>
              </c:extLst>
            </c:dLbl>
            <c:dLbl>
              <c:idx val="4"/>
              <c:layout>
                <c:manualLayout>
                  <c:x val="0.67526800941451293"/>
                  <c:y val="-7.5505122562636194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7D-124E-8809-B496078B8C22}"/>
                </c:ext>
              </c:extLst>
            </c:dLbl>
            <c:dLbl>
              <c:idx val="5"/>
              <c:layout>
                <c:manualLayout>
                  <c:x val="0.6391327872120286"/>
                  <c:y val="-2.682923136743462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67D-124E-8809-B496078B8C22}"/>
                </c:ext>
              </c:extLst>
            </c:dLbl>
            <c:dLbl>
              <c:idx val="6"/>
              <c:layout>
                <c:manualLayout>
                  <c:x val="3.776021214849392E-2"/>
                  <c:y val="-8.5003768071451411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7D-124E-8809-B496078B8C22}"/>
                </c:ext>
              </c:extLst>
            </c:dLbl>
            <c:dLbl>
              <c:idx val="7"/>
              <c:layout>
                <c:manualLayout>
                  <c:x val="3.1777184622603392E-2"/>
                  <c:y val="-2.3977937066475522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67D-124E-8809-B496078B8C22}"/>
                </c:ext>
              </c:extLst>
            </c:dLbl>
            <c:dLbl>
              <c:idx val="8"/>
              <c:layout>
                <c:manualLayout>
                  <c:x val="0.53996986885766085"/>
                  <c:y val="-7.052446739663939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67D-124E-8809-B496078B8C22}"/>
                </c:ext>
              </c:extLst>
            </c:dLbl>
            <c:dLbl>
              <c:idx val="9"/>
              <c:layout>
                <c:manualLayout>
                  <c:x val="1.9811625059644351E-2"/>
                  <c:y val="-2.4710777915369769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67D-124E-8809-B496078B8C22}"/>
                </c:ext>
              </c:extLst>
            </c:dLbl>
            <c:dLbl>
              <c:idx val="10"/>
              <c:layout>
                <c:manualLayout>
                  <c:x val="0.47646620371563181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A14-194B-99E4-9EF3338F4ED6}"/>
                </c:ext>
              </c:extLst>
            </c:dLbl>
            <c:dLbl>
              <c:idx val="11"/>
              <c:layout>
                <c:manualLayout>
                  <c:x val="7.846065496685312E-3"/>
                  <c:y val="1.2141884143439844E-2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A14-194B-99E4-9EF3338F4ED6}"/>
                </c:ext>
              </c:extLst>
            </c:dLbl>
            <c:dLbl>
              <c:idx val="14"/>
              <c:layout>
                <c:manualLayout>
                  <c:x val="0.33223505427122296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A14-194B-99E4-9EF3338F4ED6}"/>
                </c:ext>
              </c:extLst>
            </c:dLbl>
            <c:dLbl>
              <c:idx val="16"/>
              <c:layout>
                <c:manualLayout>
                  <c:x val="0.26980616354981551"/>
                  <c:y val="2.4337945597601007E-3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A14-194B-99E4-9EF3338F4ED6}"/>
                </c:ext>
              </c:extLst>
            </c:dLbl>
            <c:dLbl>
              <c:idx val="17"/>
              <c:layout>
                <c:manualLayout>
                  <c:x val="0.24110338019345234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A14-194B-99E4-9EF3338F4ED6}"/>
                </c:ext>
              </c:extLst>
            </c:dLbl>
            <c:spPr>
              <a:blipFill dpi="0" rotWithShape="1">
                <a:blip xmlns:r="http://schemas.openxmlformats.org/officeDocument/2006/relationships" r:embed="rId1">
                  <a:alphaModFix amt="0"/>
                </a:blip>
                <a:srcRect/>
                <a:tile tx="0" ty="0" sx="100000" sy="100000" flip="none" algn="tl"/>
              </a:blipFill>
              <a:ln>
                <a:noFill/>
              </a:ln>
              <a:effectLst/>
            </c:spPr>
            <c:txPr>
              <a:bodyPr tIns="46800" rIns="0" anchorCtr="0"/>
              <a:lstStyle/>
              <a:p>
                <a:pPr algn="r">
                  <a:defRPr sz="1000" b="1" i="0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'MY STATS'!$AC$51:$AC$77</c:f>
              <c:strCache>
                <c:ptCount val="6"/>
                <c:pt idx="5">
                  <c:v>2024</c:v>
                </c:pt>
              </c:strCache>
            </c:strRef>
          </c:cat>
          <c:val>
            <c:numRef>
              <c:f>'MY STATS'!$AD$51:$AD$77</c:f>
              <c:numCache>
                <c:formatCode>0.0</c:formatCode>
                <c:ptCount val="27"/>
                <c:pt idx="0">
                  <c:v>331.99</c:v>
                </c:pt>
                <c:pt idx="1">
                  <c:v>253.99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67D-124E-8809-B496078B8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120512"/>
        <c:axId val="65126400"/>
      </c:barChart>
      <c:catAx>
        <c:axId val="6512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5126400"/>
        <c:crosses val="autoZero"/>
        <c:auto val="1"/>
        <c:lblAlgn val="ctr"/>
        <c:lblOffset val="100"/>
        <c:noMultiLvlLbl val="0"/>
      </c:catAx>
      <c:valAx>
        <c:axId val="65126400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65120512"/>
        <c:crosses val="autoZero"/>
        <c:crossBetween val="between"/>
      </c:valAx>
      <c:spPr>
        <a:blipFill rotWithShape="1">
          <a:blip xmlns:r="http://schemas.openxmlformats.org/officeDocument/2006/relationships" r:embed="rId1"/>
          <a:tile tx="0" ty="0" sx="100000" sy="100000" flip="none" algn="tl"/>
        </a:blipFill>
      </c:spPr>
    </c:plotArea>
    <c:plotVisOnly val="1"/>
    <c:dispBlanksAs val="gap"/>
    <c:showDLblsOverMax val="0"/>
  </c:chart>
  <c:spPr>
    <a:blipFill rotWithShape="1">
      <a:blip xmlns:r="http://schemas.openxmlformats.org/officeDocument/2006/relationships" r:embed="rId1"/>
      <a:tile tx="0" ty="0" sx="100000" sy="100000" flip="none" algn="tl"/>
    </a:blipFill>
    <a:ln>
      <a:noFill/>
    </a:ln>
  </c:spPr>
  <c:printSettings>
    <c:headerFooter/>
    <c:pageMargins b="1" l="0.75000000000000078" r="0.75000000000000078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SEP!$C$10:$C$50</c:f>
              <c:numCache>
                <c:formatCode>d;@</c:formatCode>
                <c:ptCount val="41"/>
                <c:pt idx="0">
                  <c:v>45535</c:v>
                </c:pt>
                <c:pt idx="1">
                  <c:v>45536</c:v>
                </c:pt>
                <c:pt idx="4">
                  <c:v>45537</c:v>
                </c:pt>
                <c:pt idx="5">
                  <c:v>45538</c:v>
                </c:pt>
                <c:pt idx="6">
                  <c:v>45539</c:v>
                </c:pt>
                <c:pt idx="7">
                  <c:v>45540</c:v>
                </c:pt>
                <c:pt idx="8">
                  <c:v>45541</c:v>
                </c:pt>
                <c:pt idx="9">
                  <c:v>45542</c:v>
                </c:pt>
                <c:pt idx="10">
                  <c:v>45543</c:v>
                </c:pt>
                <c:pt idx="13">
                  <c:v>45544</c:v>
                </c:pt>
                <c:pt idx="14">
                  <c:v>45545</c:v>
                </c:pt>
                <c:pt idx="15">
                  <c:v>45546</c:v>
                </c:pt>
                <c:pt idx="16">
                  <c:v>45547</c:v>
                </c:pt>
                <c:pt idx="17">
                  <c:v>45548</c:v>
                </c:pt>
                <c:pt idx="18">
                  <c:v>45549</c:v>
                </c:pt>
                <c:pt idx="19">
                  <c:v>45550</c:v>
                </c:pt>
                <c:pt idx="22">
                  <c:v>45551</c:v>
                </c:pt>
                <c:pt idx="23">
                  <c:v>45552</c:v>
                </c:pt>
                <c:pt idx="24">
                  <c:v>45553</c:v>
                </c:pt>
                <c:pt idx="25">
                  <c:v>45554</c:v>
                </c:pt>
                <c:pt idx="26">
                  <c:v>45555</c:v>
                </c:pt>
                <c:pt idx="27">
                  <c:v>45556</c:v>
                </c:pt>
                <c:pt idx="28">
                  <c:v>45557</c:v>
                </c:pt>
                <c:pt idx="31">
                  <c:v>45558</c:v>
                </c:pt>
                <c:pt idx="32">
                  <c:v>45559</c:v>
                </c:pt>
                <c:pt idx="33">
                  <c:v>45560</c:v>
                </c:pt>
                <c:pt idx="34">
                  <c:v>45561</c:v>
                </c:pt>
                <c:pt idx="35">
                  <c:v>45562</c:v>
                </c:pt>
                <c:pt idx="36">
                  <c:v>45563</c:v>
                </c:pt>
                <c:pt idx="37">
                  <c:v>45564</c:v>
                </c:pt>
                <c:pt idx="40">
                  <c:v>45565</c:v>
                </c:pt>
              </c:numCache>
            </c:numRef>
          </c:cat>
          <c:val>
            <c:numRef>
              <c:f>SEP!$R$10:$R$50</c:f>
              <c:numCache>
                <c:formatCode>#,##0.0</c:formatCode>
                <c:ptCount val="41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0-C34E-BAE4-6E1F3283CB71}"/>
            </c:ext>
          </c:extLst>
        </c:ser>
        <c:ser>
          <c:idx val="1"/>
          <c:order val="1"/>
          <c:invertIfNegative val="0"/>
          <c:cat>
            <c:numRef>
              <c:f>SEP!$C$10:$C$50</c:f>
              <c:numCache>
                <c:formatCode>d;@</c:formatCode>
                <c:ptCount val="41"/>
                <c:pt idx="0">
                  <c:v>45535</c:v>
                </c:pt>
                <c:pt idx="1">
                  <c:v>45536</c:v>
                </c:pt>
                <c:pt idx="4">
                  <c:v>45537</c:v>
                </c:pt>
                <c:pt idx="5">
                  <c:v>45538</c:v>
                </c:pt>
                <c:pt idx="6">
                  <c:v>45539</c:v>
                </c:pt>
                <c:pt idx="7">
                  <c:v>45540</c:v>
                </c:pt>
                <c:pt idx="8">
                  <c:v>45541</c:v>
                </c:pt>
                <c:pt idx="9">
                  <c:v>45542</c:v>
                </c:pt>
                <c:pt idx="10">
                  <c:v>45543</c:v>
                </c:pt>
                <c:pt idx="13">
                  <c:v>45544</c:v>
                </c:pt>
                <c:pt idx="14">
                  <c:v>45545</c:v>
                </c:pt>
                <c:pt idx="15">
                  <c:v>45546</c:v>
                </c:pt>
                <c:pt idx="16">
                  <c:v>45547</c:v>
                </c:pt>
                <c:pt idx="17">
                  <c:v>45548</c:v>
                </c:pt>
                <c:pt idx="18">
                  <c:v>45549</c:v>
                </c:pt>
                <c:pt idx="19">
                  <c:v>45550</c:v>
                </c:pt>
                <c:pt idx="22">
                  <c:v>45551</c:v>
                </c:pt>
                <c:pt idx="23">
                  <c:v>45552</c:v>
                </c:pt>
                <c:pt idx="24">
                  <c:v>45553</c:v>
                </c:pt>
                <c:pt idx="25">
                  <c:v>45554</c:v>
                </c:pt>
                <c:pt idx="26">
                  <c:v>45555</c:v>
                </c:pt>
                <c:pt idx="27">
                  <c:v>45556</c:v>
                </c:pt>
                <c:pt idx="28">
                  <c:v>45557</c:v>
                </c:pt>
                <c:pt idx="31">
                  <c:v>45558</c:v>
                </c:pt>
                <c:pt idx="32">
                  <c:v>45559</c:v>
                </c:pt>
                <c:pt idx="33">
                  <c:v>45560</c:v>
                </c:pt>
                <c:pt idx="34">
                  <c:v>45561</c:v>
                </c:pt>
                <c:pt idx="35">
                  <c:v>45562</c:v>
                </c:pt>
                <c:pt idx="36">
                  <c:v>45563</c:v>
                </c:pt>
                <c:pt idx="37">
                  <c:v>45564</c:v>
                </c:pt>
                <c:pt idx="40">
                  <c:v>45565</c:v>
                </c:pt>
              </c:numCache>
            </c:numRef>
          </c:cat>
          <c:val>
            <c:numRef>
              <c:f>SEP!$T$5:$T$43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650-C34E-BAE4-6E1F3283C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SEP!$C$10:$D$50</c:f>
              <c:numCache>
                <c:formatCode>d;@</c:formatCode>
                <c:ptCount val="41"/>
                <c:pt idx="0">
                  <c:v>45535</c:v>
                </c:pt>
                <c:pt idx="1">
                  <c:v>45536</c:v>
                </c:pt>
                <c:pt idx="4">
                  <c:v>45537</c:v>
                </c:pt>
                <c:pt idx="5">
                  <c:v>45538</c:v>
                </c:pt>
                <c:pt idx="6">
                  <c:v>45539</c:v>
                </c:pt>
                <c:pt idx="7">
                  <c:v>45540</c:v>
                </c:pt>
                <c:pt idx="8">
                  <c:v>45541</c:v>
                </c:pt>
                <c:pt idx="9">
                  <c:v>45542</c:v>
                </c:pt>
                <c:pt idx="10">
                  <c:v>45543</c:v>
                </c:pt>
                <c:pt idx="13">
                  <c:v>45544</c:v>
                </c:pt>
                <c:pt idx="14">
                  <c:v>45545</c:v>
                </c:pt>
                <c:pt idx="15">
                  <c:v>45546</c:v>
                </c:pt>
                <c:pt idx="16">
                  <c:v>45547</c:v>
                </c:pt>
                <c:pt idx="17">
                  <c:v>45548</c:v>
                </c:pt>
                <c:pt idx="18">
                  <c:v>45549</c:v>
                </c:pt>
                <c:pt idx="19">
                  <c:v>45550</c:v>
                </c:pt>
                <c:pt idx="22">
                  <c:v>45551</c:v>
                </c:pt>
                <c:pt idx="23">
                  <c:v>45552</c:v>
                </c:pt>
                <c:pt idx="24">
                  <c:v>45553</c:v>
                </c:pt>
                <c:pt idx="25">
                  <c:v>45554</c:v>
                </c:pt>
                <c:pt idx="26">
                  <c:v>45555</c:v>
                </c:pt>
                <c:pt idx="27">
                  <c:v>45556</c:v>
                </c:pt>
                <c:pt idx="28">
                  <c:v>45557</c:v>
                </c:pt>
                <c:pt idx="31">
                  <c:v>45558</c:v>
                </c:pt>
                <c:pt idx="32">
                  <c:v>45559</c:v>
                </c:pt>
                <c:pt idx="33">
                  <c:v>45560</c:v>
                </c:pt>
                <c:pt idx="34">
                  <c:v>45561</c:v>
                </c:pt>
                <c:pt idx="35">
                  <c:v>45562</c:v>
                </c:pt>
                <c:pt idx="36">
                  <c:v>45563</c:v>
                </c:pt>
                <c:pt idx="37">
                  <c:v>45564</c:v>
                </c:pt>
                <c:pt idx="40">
                  <c:v>45565</c:v>
                </c:pt>
              </c:numCache>
            </c:numRef>
          </c:cat>
          <c:val>
            <c:numRef>
              <c:f>SEP!$U$5:$U$43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650-C34E-BAE4-6E1F3283CB71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SEP!$C$10:$D$50</c:f>
              <c:numCache>
                <c:formatCode>d;@</c:formatCode>
                <c:ptCount val="41"/>
                <c:pt idx="0">
                  <c:v>45535</c:v>
                </c:pt>
                <c:pt idx="1">
                  <c:v>45536</c:v>
                </c:pt>
                <c:pt idx="4">
                  <c:v>45537</c:v>
                </c:pt>
                <c:pt idx="5">
                  <c:v>45538</c:v>
                </c:pt>
                <c:pt idx="6">
                  <c:v>45539</c:v>
                </c:pt>
                <c:pt idx="7">
                  <c:v>45540</c:v>
                </c:pt>
                <c:pt idx="8">
                  <c:v>45541</c:v>
                </c:pt>
                <c:pt idx="9">
                  <c:v>45542</c:v>
                </c:pt>
                <c:pt idx="10">
                  <c:v>45543</c:v>
                </c:pt>
                <c:pt idx="13">
                  <c:v>45544</c:v>
                </c:pt>
                <c:pt idx="14">
                  <c:v>45545</c:v>
                </c:pt>
                <c:pt idx="15">
                  <c:v>45546</c:v>
                </c:pt>
                <c:pt idx="16">
                  <c:v>45547</c:v>
                </c:pt>
                <c:pt idx="17">
                  <c:v>45548</c:v>
                </c:pt>
                <c:pt idx="18">
                  <c:v>45549</c:v>
                </c:pt>
                <c:pt idx="19">
                  <c:v>45550</c:v>
                </c:pt>
                <c:pt idx="22">
                  <c:v>45551</c:v>
                </c:pt>
                <c:pt idx="23">
                  <c:v>45552</c:v>
                </c:pt>
                <c:pt idx="24">
                  <c:v>45553</c:v>
                </c:pt>
                <c:pt idx="25">
                  <c:v>45554</c:v>
                </c:pt>
                <c:pt idx="26">
                  <c:v>45555</c:v>
                </c:pt>
                <c:pt idx="27">
                  <c:v>45556</c:v>
                </c:pt>
                <c:pt idx="28">
                  <c:v>45557</c:v>
                </c:pt>
                <c:pt idx="31">
                  <c:v>45558</c:v>
                </c:pt>
                <c:pt idx="32">
                  <c:v>45559</c:v>
                </c:pt>
                <c:pt idx="33">
                  <c:v>45560</c:v>
                </c:pt>
                <c:pt idx="34">
                  <c:v>45561</c:v>
                </c:pt>
                <c:pt idx="35">
                  <c:v>45562</c:v>
                </c:pt>
                <c:pt idx="36">
                  <c:v>45563</c:v>
                </c:pt>
                <c:pt idx="37">
                  <c:v>45564</c:v>
                </c:pt>
                <c:pt idx="40">
                  <c:v>45565</c:v>
                </c:pt>
              </c:numCache>
            </c:numRef>
          </c:cat>
          <c:val>
            <c:numRef>
              <c:f>SEP!$V$10:$V$50</c:f>
              <c:numCache>
                <c:formatCode>#,##0.00</c:formatCode>
                <c:ptCount val="41"/>
                <c:pt idx="0">
                  <c:v>0</c:v>
                </c:pt>
                <c:pt idx="1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0-C34E-BAE4-6E1F3283C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565"/>
          <c:min val="45536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SEP!$P$53:$V$53</c:f>
              <c:numCache>
                <c:formatCode>General</c:formatCode>
                <c:ptCount val="7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1-7B45-B4E2-DC0A9008DB7D}"/>
            </c:ext>
          </c:extLst>
        </c:ser>
        <c:ser>
          <c:idx val="1"/>
          <c:order val="1"/>
          <c:tx>
            <c:strRef>
              <c:f>SEP!$O$54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91-7B45-B4E2-DC0A9008DB7D}"/>
            </c:ext>
          </c:extLst>
        </c:ser>
        <c:ser>
          <c:idx val="2"/>
          <c:order val="2"/>
          <c:tx>
            <c:strRef>
              <c:f>SEP!$O$55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91-7B45-B4E2-DC0A9008DB7D}"/>
            </c:ext>
          </c:extLst>
        </c:ser>
        <c:ser>
          <c:idx val="4"/>
          <c:order val="3"/>
          <c:tx>
            <c:strRef>
              <c:f>SEP!$O$56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6691-7B45-B4E2-DC0A9008DB7D}"/>
            </c:ext>
          </c:extLst>
        </c:ser>
        <c:ser>
          <c:idx val="6"/>
          <c:order val="4"/>
          <c:tx>
            <c:strRef>
              <c:f>SEP!$O$59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SEP!$P$52:$V$52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SEP!$P$59:$V$59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91-7B45-B4E2-DC0A9008D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86880"/>
        <c:axId val="149553920"/>
      </c:barChart>
      <c:catAx>
        <c:axId val="148986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49553920"/>
        <c:crosses val="autoZero"/>
        <c:auto val="0"/>
        <c:lblAlgn val="ctr"/>
        <c:lblOffset val="100"/>
        <c:noMultiLvlLbl val="0"/>
      </c:catAx>
      <c:valAx>
        <c:axId val="149553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48986880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412527065396393"/>
          <c:y val="0.2309061066352780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277566148873217"/>
          <c:y val="6.4391463648712871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OCT!$C$5:$C$44</c:f>
              <c:numCache>
                <c:formatCode>d;@</c:formatCode>
                <c:ptCount val="40"/>
                <c:pt idx="0">
                  <c:v>45565</c:v>
                </c:pt>
                <c:pt idx="1">
                  <c:v>45566</c:v>
                </c:pt>
                <c:pt idx="2">
                  <c:v>45567</c:v>
                </c:pt>
                <c:pt idx="3">
                  <c:v>45568</c:v>
                </c:pt>
                <c:pt idx="4">
                  <c:v>45569</c:v>
                </c:pt>
                <c:pt idx="5">
                  <c:v>45570</c:v>
                </c:pt>
                <c:pt idx="6">
                  <c:v>45571</c:v>
                </c:pt>
                <c:pt idx="9">
                  <c:v>45572</c:v>
                </c:pt>
                <c:pt idx="10">
                  <c:v>45573</c:v>
                </c:pt>
                <c:pt idx="11">
                  <c:v>45574</c:v>
                </c:pt>
                <c:pt idx="12">
                  <c:v>45575</c:v>
                </c:pt>
                <c:pt idx="13">
                  <c:v>45576</c:v>
                </c:pt>
                <c:pt idx="14">
                  <c:v>45577</c:v>
                </c:pt>
                <c:pt idx="15">
                  <c:v>45578</c:v>
                </c:pt>
                <c:pt idx="18">
                  <c:v>45579</c:v>
                </c:pt>
                <c:pt idx="19">
                  <c:v>45580</c:v>
                </c:pt>
                <c:pt idx="20">
                  <c:v>45581</c:v>
                </c:pt>
                <c:pt idx="21">
                  <c:v>45582</c:v>
                </c:pt>
                <c:pt idx="22">
                  <c:v>45583</c:v>
                </c:pt>
                <c:pt idx="23">
                  <c:v>45584</c:v>
                </c:pt>
                <c:pt idx="24">
                  <c:v>45585</c:v>
                </c:pt>
                <c:pt idx="27">
                  <c:v>45586</c:v>
                </c:pt>
                <c:pt idx="28">
                  <c:v>45587</c:v>
                </c:pt>
                <c:pt idx="29">
                  <c:v>45588</c:v>
                </c:pt>
                <c:pt idx="30">
                  <c:v>45589</c:v>
                </c:pt>
                <c:pt idx="31">
                  <c:v>45590</c:v>
                </c:pt>
                <c:pt idx="32">
                  <c:v>45591</c:v>
                </c:pt>
                <c:pt idx="33">
                  <c:v>45592</c:v>
                </c:pt>
                <c:pt idx="36">
                  <c:v>45593</c:v>
                </c:pt>
                <c:pt idx="37">
                  <c:v>45594</c:v>
                </c:pt>
                <c:pt idx="38">
                  <c:v>45595</c:v>
                </c:pt>
                <c:pt idx="39">
                  <c:v>45596</c:v>
                </c:pt>
              </c:numCache>
            </c:numRef>
          </c:cat>
          <c:val>
            <c:numRef>
              <c:f>OCT!$Q$5:$Q$44</c:f>
              <c:numCache>
                <c:formatCode>#,##0.0</c:formatCode>
                <c:ptCount val="40"/>
                <c:pt idx="0">
                  <c:v>138281.6904026657</c:v>
                </c:pt>
                <c:pt idx="1">
                  <c:v>138281.6904026657</c:v>
                </c:pt>
                <c:pt idx="2">
                  <c:v>138281.6904026657</c:v>
                </c:pt>
                <c:pt idx="3">
                  <c:v>138281.6904026657</c:v>
                </c:pt>
                <c:pt idx="4">
                  <c:v>138281.6904026657</c:v>
                </c:pt>
                <c:pt idx="5">
                  <c:v>138281.6904026657</c:v>
                </c:pt>
                <c:pt idx="6">
                  <c:v>138281.6904026657</c:v>
                </c:pt>
                <c:pt idx="7">
                  <c:v>0</c:v>
                </c:pt>
                <c:pt idx="8">
                  <c:v>0</c:v>
                </c:pt>
                <c:pt idx="9">
                  <c:v>138281.6904026657</c:v>
                </c:pt>
                <c:pt idx="10">
                  <c:v>138281.6904026657</c:v>
                </c:pt>
                <c:pt idx="11">
                  <c:v>138281.6904026657</c:v>
                </c:pt>
                <c:pt idx="12">
                  <c:v>138281.6904026657</c:v>
                </c:pt>
                <c:pt idx="13">
                  <c:v>138281.6904026657</c:v>
                </c:pt>
                <c:pt idx="14">
                  <c:v>138281.6904026657</c:v>
                </c:pt>
                <c:pt idx="15">
                  <c:v>138281.6904026657</c:v>
                </c:pt>
                <c:pt idx="16">
                  <c:v>0</c:v>
                </c:pt>
                <c:pt idx="17">
                  <c:v>0</c:v>
                </c:pt>
                <c:pt idx="18">
                  <c:v>138281.6904026657</c:v>
                </c:pt>
                <c:pt idx="19">
                  <c:v>138281.6904026657</c:v>
                </c:pt>
                <c:pt idx="20">
                  <c:v>138281.6904026657</c:v>
                </c:pt>
                <c:pt idx="21">
                  <c:v>138281.6904026657</c:v>
                </c:pt>
                <c:pt idx="22">
                  <c:v>138281.6904026657</c:v>
                </c:pt>
                <c:pt idx="23">
                  <c:v>138281.6904026657</c:v>
                </c:pt>
                <c:pt idx="24">
                  <c:v>138281.6904026657</c:v>
                </c:pt>
                <c:pt idx="25">
                  <c:v>0</c:v>
                </c:pt>
                <c:pt idx="26">
                  <c:v>0</c:v>
                </c:pt>
                <c:pt idx="27">
                  <c:v>138281.6904026657</c:v>
                </c:pt>
                <c:pt idx="28">
                  <c:v>138281.6904026657</c:v>
                </c:pt>
                <c:pt idx="29">
                  <c:v>138281.6904026657</c:v>
                </c:pt>
                <c:pt idx="30">
                  <c:v>138281.6904026657</c:v>
                </c:pt>
                <c:pt idx="31">
                  <c:v>138281.6904026657</c:v>
                </c:pt>
                <c:pt idx="32">
                  <c:v>138281.6904026657</c:v>
                </c:pt>
                <c:pt idx="33">
                  <c:v>138281.6904026657</c:v>
                </c:pt>
                <c:pt idx="34">
                  <c:v>0</c:v>
                </c:pt>
                <c:pt idx="35">
                  <c:v>0</c:v>
                </c:pt>
                <c:pt idx="36">
                  <c:v>138281.6904026657</c:v>
                </c:pt>
                <c:pt idx="37">
                  <c:v>138281.6904026657</c:v>
                </c:pt>
                <c:pt idx="38">
                  <c:v>138281.6904026657</c:v>
                </c:pt>
                <c:pt idx="39">
                  <c:v>138281.6904026657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42-E84C-9F6F-E0D4674BC030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OCT!$C$5:$C$44</c:f>
              <c:numCache>
                <c:formatCode>d;@</c:formatCode>
                <c:ptCount val="40"/>
                <c:pt idx="0">
                  <c:v>45565</c:v>
                </c:pt>
                <c:pt idx="1">
                  <c:v>45566</c:v>
                </c:pt>
                <c:pt idx="2">
                  <c:v>45567</c:v>
                </c:pt>
                <c:pt idx="3">
                  <c:v>45568</c:v>
                </c:pt>
                <c:pt idx="4">
                  <c:v>45569</c:v>
                </c:pt>
                <c:pt idx="5">
                  <c:v>45570</c:v>
                </c:pt>
                <c:pt idx="6">
                  <c:v>45571</c:v>
                </c:pt>
                <c:pt idx="9">
                  <c:v>45572</c:v>
                </c:pt>
                <c:pt idx="10">
                  <c:v>45573</c:v>
                </c:pt>
                <c:pt idx="11">
                  <c:v>45574</c:v>
                </c:pt>
                <c:pt idx="12">
                  <c:v>45575</c:v>
                </c:pt>
                <c:pt idx="13">
                  <c:v>45576</c:v>
                </c:pt>
                <c:pt idx="14">
                  <c:v>45577</c:v>
                </c:pt>
                <c:pt idx="15">
                  <c:v>45578</c:v>
                </c:pt>
                <c:pt idx="18">
                  <c:v>45579</c:v>
                </c:pt>
                <c:pt idx="19">
                  <c:v>45580</c:v>
                </c:pt>
                <c:pt idx="20">
                  <c:v>45581</c:v>
                </c:pt>
                <c:pt idx="21">
                  <c:v>45582</c:v>
                </c:pt>
                <c:pt idx="22">
                  <c:v>45583</c:v>
                </c:pt>
                <c:pt idx="23">
                  <c:v>45584</c:v>
                </c:pt>
                <c:pt idx="24">
                  <c:v>45585</c:v>
                </c:pt>
                <c:pt idx="27">
                  <c:v>45586</c:v>
                </c:pt>
                <c:pt idx="28">
                  <c:v>45587</c:v>
                </c:pt>
                <c:pt idx="29">
                  <c:v>45588</c:v>
                </c:pt>
                <c:pt idx="30">
                  <c:v>45589</c:v>
                </c:pt>
                <c:pt idx="31">
                  <c:v>45590</c:v>
                </c:pt>
                <c:pt idx="32">
                  <c:v>45591</c:v>
                </c:pt>
                <c:pt idx="33">
                  <c:v>45592</c:v>
                </c:pt>
                <c:pt idx="36">
                  <c:v>45593</c:v>
                </c:pt>
                <c:pt idx="37">
                  <c:v>45594</c:v>
                </c:pt>
                <c:pt idx="38">
                  <c:v>45595</c:v>
                </c:pt>
                <c:pt idx="39">
                  <c:v>45596</c:v>
                </c:pt>
              </c:numCache>
            </c:numRef>
          </c:cat>
          <c:val>
            <c:numRef>
              <c:f>OCT!$AB$5:$AB$44</c:f>
              <c:numCache>
                <c:formatCode>#,##0.0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42-E84C-9F6F-E0D4674BC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910848"/>
        <c:axId val="150912384"/>
      </c:lineChart>
      <c:dateAx>
        <c:axId val="150910848"/>
        <c:scaling>
          <c:orientation val="minMax"/>
          <c:max val="45596"/>
          <c:min val="45565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50912384"/>
        <c:crosses val="autoZero"/>
        <c:auto val="1"/>
        <c:lblOffset val="100"/>
        <c:baseTimeUnit val="days"/>
      </c:dateAx>
      <c:valAx>
        <c:axId val="15091238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509108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OCT!$C$5:$C$44</c:f>
              <c:numCache>
                <c:formatCode>d;@</c:formatCode>
                <c:ptCount val="40"/>
                <c:pt idx="0">
                  <c:v>45565</c:v>
                </c:pt>
                <c:pt idx="1">
                  <c:v>45566</c:v>
                </c:pt>
                <c:pt idx="2">
                  <c:v>45567</c:v>
                </c:pt>
                <c:pt idx="3">
                  <c:v>45568</c:v>
                </c:pt>
                <c:pt idx="4">
                  <c:v>45569</c:v>
                </c:pt>
                <c:pt idx="5">
                  <c:v>45570</c:v>
                </c:pt>
                <c:pt idx="6">
                  <c:v>45571</c:v>
                </c:pt>
                <c:pt idx="9">
                  <c:v>45572</c:v>
                </c:pt>
                <c:pt idx="10">
                  <c:v>45573</c:v>
                </c:pt>
                <c:pt idx="11">
                  <c:v>45574</c:v>
                </c:pt>
                <c:pt idx="12">
                  <c:v>45575</c:v>
                </c:pt>
                <c:pt idx="13">
                  <c:v>45576</c:v>
                </c:pt>
                <c:pt idx="14">
                  <c:v>45577</c:v>
                </c:pt>
                <c:pt idx="15">
                  <c:v>45578</c:v>
                </c:pt>
                <c:pt idx="18">
                  <c:v>45579</c:v>
                </c:pt>
                <c:pt idx="19">
                  <c:v>45580</c:v>
                </c:pt>
                <c:pt idx="20">
                  <c:v>45581</c:v>
                </c:pt>
                <c:pt idx="21">
                  <c:v>45582</c:v>
                </c:pt>
                <c:pt idx="22">
                  <c:v>45583</c:v>
                </c:pt>
                <c:pt idx="23">
                  <c:v>45584</c:v>
                </c:pt>
                <c:pt idx="24">
                  <c:v>45585</c:v>
                </c:pt>
                <c:pt idx="27">
                  <c:v>45586</c:v>
                </c:pt>
                <c:pt idx="28">
                  <c:v>45587</c:v>
                </c:pt>
                <c:pt idx="29">
                  <c:v>45588</c:v>
                </c:pt>
                <c:pt idx="30">
                  <c:v>45589</c:v>
                </c:pt>
                <c:pt idx="31">
                  <c:v>45590</c:v>
                </c:pt>
                <c:pt idx="32">
                  <c:v>45591</c:v>
                </c:pt>
                <c:pt idx="33">
                  <c:v>45592</c:v>
                </c:pt>
                <c:pt idx="36">
                  <c:v>45593</c:v>
                </c:pt>
                <c:pt idx="37">
                  <c:v>45594</c:v>
                </c:pt>
                <c:pt idx="38">
                  <c:v>45595</c:v>
                </c:pt>
                <c:pt idx="39">
                  <c:v>45596</c:v>
                </c:pt>
              </c:numCache>
            </c:numRef>
          </c:cat>
          <c:val>
            <c:numRef>
              <c:f>OCT!$R$5:$R$44</c:f>
              <c:numCache>
                <c:formatCode>#,##0.0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93-DA4F-AFBC-926137AADBDF}"/>
            </c:ext>
          </c:extLst>
        </c:ser>
        <c:ser>
          <c:idx val="1"/>
          <c:order val="1"/>
          <c:invertIfNegative val="0"/>
          <c:cat>
            <c:numRef>
              <c:f>OCT!$C$5:$C$44</c:f>
              <c:numCache>
                <c:formatCode>d;@</c:formatCode>
                <c:ptCount val="40"/>
                <c:pt idx="0">
                  <c:v>45565</c:v>
                </c:pt>
                <c:pt idx="1">
                  <c:v>45566</c:v>
                </c:pt>
                <c:pt idx="2">
                  <c:v>45567</c:v>
                </c:pt>
                <c:pt idx="3">
                  <c:v>45568</c:v>
                </c:pt>
                <c:pt idx="4">
                  <c:v>45569</c:v>
                </c:pt>
                <c:pt idx="5">
                  <c:v>45570</c:v>
                </c:pt>
                <c:pt idx="6">
                  <c:v>45571</c:v>
                </c:pt>
                <c:pt idx="9">
                  <c:v>45572</c:v>
                </c:pt>
                <c:pt idx="10">
                  <c:v>45573</c:v>
                </c:pt>
                <c:pt idx="11">
                  <c:v>45574</c:v>
                </c:pt>
                <c:pt idx="12">
                  <c:v>45575</c:v>
                </c:pt>
                <c:pt idx="13">
                  <c:v>45576</c:v>
                </c:pt>
                <c:pt idx="14">
                  <c:v>45577</c:v>
                </c:pt>
                <c:pt idx="15">
                  <c:v>45578</c:v>
                </c:pt>
                <c:pt idx="18">
                  <c:v>45579</c:v>
                </c:pt>
                <c:pt idx="19">
                  <c:v>45580</c:v>
                </c:pt>
                <c:pt idx="20">
                  <c:v>45581</c:v>
                </c:pt>
                <c:pt idx="21">
                  <c:v>45582</c:v>
                </c:pt>
                <c:pt idx="22">
                  <c:v>45583</c:v>
                </c:pt>
                <c:pt idx="23">
                  <c:v>45584</c:v>
                </c:pt>
                <c:pt idx="24">
                  <c:v>45585</c:v>
                </c:pt>
                <c:pt idx="27">
                  <c:v>45586</c:v>
                </c:pt>
                <c:pt idx="28">
                  <c:v>45587</c:v>
                </c:pt>
                <c:pt idx="29">
                  <c:v>45588</c:v>
                </c:pt>
                <c:pt idx="30">
                  <c:v>45589</c:v>
                </c:pt>
                <c:pt idx="31">
                  <c:v>45590</c:v>
                </c:pt>
                <c:pt idx="32">
                  <c:v>45591</c:v>
                </c:pt>
                <c:pt idx="33">
                  <c:v>45592</c:v>
                </c:pt>
                <c:pt idx="36">
                  <c:v>45593</c:v>
                </c:pt>
                <c:pt idx="37">
                  <c:v>45594</c:v>
                </c:pt>
                <c:pt idx="38">
                  <c:v>45595</c:v>
                </c:pt>
                <c:pt idx="39">
                  <c:v>45596</c:v>
                </c:pt>
              </c:numCache>
            </c:numRef>
          </c:cat>
          <c:val>
            <c:numRef>
              <c:f>OCT!$T$5:$T$43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EA93-DA4F-AFBC-926137AAD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OCT!$C$5:$D$44</c:f>
              <c:numCache>
                <c:formatCode>d;@</c:formatCode>
                <c:ptCount val="40"/>
                <c:pt idx="0">
                  <c:v>45565</c:v>
                </c:pt>
                <c:pt idx="1">
                  <c:v>45566</c:v>
                </c:pt>
                <c:pt idx="2">
                  <c:v>45567</c:v>
                </c:pt>
                <c:pt idx="3">
                  <c:v>45568</c:v>
                </c:pt>
                <c:pt idx="4">
                  <c:v>45569</c:v>
                </c:pt>
                <c:pt idx="5">
                  <c:v>45570</c:v>
                </c:pt>
                <c:pt idx="6">
                  <c:v>45571</c:v>
                </c:pt>
                <c:pt idx="9">
                  <c:v>45572</c:v>
                </c:pt>
                <c:pt idx="10">
                  <c:v>45573</c:v>
                </c:pt>
                <c:pt idx="11">
                  <c:v>45574</c:v>
                </c:pt>
                <c:pt idx="12">
                  <c:v>45575</c:v>
                </c:pt>
                <c:pt idx="13">
                  <c:v>45576</c:v>
                </c:pt>
                <c:pt idx="14">
                  <c:v>45577</c:v>
                </c:pt>
                <c:pt idx="15">
                  <c:v>45578</c:v>
                </c:pt>
                <c:pt idx="18">
                  <c:v>45579</c:v>
                </c:pt>
                <c:pt idx="19">
                  <c:v>45580</c:v>
                </c:pt>
                <c:pt idx="20">
                  <c:v>45581</c:v>
                </c:pt>
                <c:pt idx="21">
                  <c:v>45582</c:v>
                </c:pt>
                <c:pt idx="22">
                  <c:v>45583</c:v>
                </c:pt>
                <c:pt idx="23">
                  <c:v>45584</c:v>
                </c:pt>
                <c:pt idx="24">
                  <c:v>45585</c:v>
                </c:pt>
                <c:pt idx="27">
                  <c:v>45586</c:v>
                </c:pt>
                <c:pt idx="28">
                  <c:v>45587</c:v>
                </c:pt>
                <c:pt idx="29">
                  <c:v>45588</c:v>
                </c:pt>
                <c:pt idx="30">
                  <c:v>45589</c:v>
                </c:pt>
                <c:pt idx="31">
                  <c:v>45590</c:v>
                </c:pt>
                <c:pt idx="32">
                  <c:v>45591</c:v>
                </c:pt>
                <c:pt idx="33">
                  <c:v>45592</c:v>
                </c:pt>
                <c:pt idx="36">
                  <c:v>45593</c:v>
                </c:pt>
                <c:pt idx="37">
                  <c:v>45594</c:v>
                </c:pt>
                <c:pt idx="38">
                  <c:v>45595</c:v>
                </c:pt>
                <c:pt idx="39">
                  <c:v>45596</c:v>
                </c:pt>
              </c:numCache>
            </c:numRef>
          </c:cat>
          <c:val>
            <c:numRef>
              <c:f>OCT!$U$5:$U$43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EA93-DA4F-AFBC-926137AADBDF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OCT!$C$5:$D$44</c:f>
              <c:numCache>
                <c:formatCode>d;@</c:formatCode>
                <c:ptCount val="40"/>
                <c:pt idx="0">
                  <c:v>45565</c:v>
                </c:pt>
                <c:pt idx="1">
                  <c:v>45566</c:v>
                </c:pt>
                <c:pt idx="2">
                  <c:v>45567</c:v>
                </c:pt>
                <c:pt idx="3">
                  <c:v>45568</c:v>
                </c:pt>
                <c:pt idx="4">
                  <c:v>45569</c:v>
                </c:pt>
                <c:pt idx="5">
                  <c:v>45570</c:v>
                </c:pt>
                <c:pt idx="6">
                  <c:v>45571</c:v>
                </c:pt>
                <c:pt idx="9">
                  <c:v>45572</c:v>
                </c:pt>
                <c:pt idx="10">
                  <c:v>45573</c:v>
                </c:pt>
                <c:pt idx="11">
                  <c:v>45574</c:v>
                </c:pt>
                <c:pt idx="12">
                  <c:v>45575</c:v>
                </c:pt>
                <c:pt idx="13">
                  <c:v>45576</c:v>
                </c:pt>
                <c:pt idx="14">
                  <c:v>45577</c:v>
                </c:pt>
                <c:pt idx="15">
                  <c:v>45578</c:v>
                </c:pt>
                <c:pt idx="18">
                  <c:v>45579</c:v>
                </c:pt>
                <c:pt idx="19">
                  <c:v>45580</c:v>
                </c:pt>
                <c:pt idx="20">
                  <c:v>45581</c:v>
                </c:pt>
                <c:pt idx="21">
                  <c:v>45582</c:v>
                </c:pt>
                <c:pt idx="22">
                  <c:v>45583</c:v>
                </c:pt>
                <c:pt idx="23">
                  <c:v>45584</c:v>
                </c:pt>
                <c:pt idx="24">
                  <c:v>45585</c:v>
                </c:pt>
                <c:pt idx="27">
                  <c:v>45586</c:v>
                </c:pt>
                <c:pt idx="28">
                  <c:v>45587</c:v>
                </c:pt>
                <c:pt idx="29">
                  <c:v>45588</c:v>
                </c:pt>
                <c:pt idx="30">
                  <c:v>45589</c:v>
                </c:pt>
                <c:pt idx="31">
                  <c:v>45590</c:v>
                </c:pt>
                <c:pt idx="32">
                  <c:v>45591</c:v>
                </c:pt>
                <c:pt idx="33">
                  <c:v>45592</c:v>
                </c:pt>
                <c:pt idx="36">
                  <c:v>45593</c:v>
                </c:pt>
                <c:pt idx="37">
                  <c:v>45594</c:v>
                </c:pt>
                <c:pt idx="38">
                  <c:v>45595</c:v>
                </c:pt>
                <c:pt idx="39">
                  <c:v>45596</c:v>
                </c:pt>
              </c:numCache>
            </c:numRef>
          </c:cat>
          <c:val>
            <c:numRef>
              <c:f>OCT!$V$5:$V$44</c:f>
              <c:numCache>
                <c:formatCode>#,##0.00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93-DA4F-AFBC-926137AAD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596"/>
          <c:min val="45566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OCT!$O$53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OCT!$P$53:$V$53</c:f>
              <c:numCache>
                <c:formatCode>General</c:formatCode>
                <c:ptCount val="7"/>
                <c:pt idx="0">
                  <c:v>4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AF-ED40-BDE3-BD1F9156C93B}"/>
            </c:ext>
          </c:extLst>
        </c:ser>
        <c:ser>
          <c:idx val="1"/>
          <c:order val="1"/>
          <c:tx>
            <c:strRef>
              <c:f>OCT!$O$54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AF-ED40-BDE3-BD1F9156C93B}"/>
            </c:ext>
          </c:extLst>
        </c:ser>
        <c:ser>
          <c:idx val="2"/>
          <c:order val="2"/>
          <c:tx>
            <c:strRef>
              <c:f>OCT!$O$55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AF-ED40-BDE3-BD1F9156C93B}"/>
            </c:ext>
          </c:extLst>
        </c:ser>
        <c:ser>
          <c:idx val="4"/>
          <c:order val="3"/>
          <c:tx>
            <c:strRef>
              <c:f>OCT!$O$56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AEAF-ED40-BDE3-BD1F9156C93B}"/>
            </c:ext>
          </c:extLst>
        </c:ser>
        <c:ser>
          <c:idx val="6"/>
          <c:order val="4"/>
          <c:tx>
            <c:strRef>
              <c:f>OCT!$O$59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OCT!$P$52:$V$52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OCT!$P$59:$V$59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EAF-ED40-BDE3-BD1F9156C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73536"/>
        <c:axId val="151075072"/>
      </c:barChart>
      <c:catAx>
        <c:axId val="15107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51075072"/>
        <c:crosses val="autoZero"/>
        <c:auto val="0"/>
        <c:lblAlgn val="ctr"/>
        <c:lblOffset val="100"/>
        <c:noMultiLvlLbl val="0"/>
      </c:catAx>
      <c:valAx>
        <c:axId val="151075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51073536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4917437335935"/>
          <c:y val="0.2531423115869262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NOV!$C$6:$C$44</c:f>
              <c:numCache>
                <c:formatCode>d;@</c:formatCode>
                <c:ptCount val="39"/>
                <c:pt idx="0">
                  <c:v>45594</c:v>
                </c:pt>
                <c:pt idx="1">
                  <c:v>45595</c:v>
                </c:pt>
                <c:pt idx="2">
                  <c:v>45596</c:v>
                </c:pt>
                <c:pt idx="3">
                  <c:v>45597</c:v>
                </c:pt>
                <c:pt idx="4">
                  <c:v>45598</c:v>
                </c:pt>
                <c:pt idx="5">
                  <c:v>45599</c:v>
                </c:pt>
                <c:pt idx="8">
                  <c:v>45600</c:v>
                </c:pt>
                <c:pt idx="9">
                  <c:v>45601</c:v>
                </c:pt>
                <c:pt idx="10">
                  <c:v>45602</c:v>
                </c:pt>
                <c:pt idx="11">
                  <c:v>45603</c:v>
                </c:pt>
                <c:pt idx="12">
                  <c:v>45604</c:v>
                </c:pt>
                <c:pt idx="13">
                  <c:v>45605</c:v>
                </c:pt>
                <c:pt idx="14">
                  <c:v>45606</c:v>
                </c:pt>
                <c:pt idx="17">
                  <c:v>45607</c:v>
                </c:pt>
                <c:pt idx="18">
                  <c:v>45608</c:v>
                </c:pt>
                <c:pt idx="19">
                  <c:v>45609</c:v>
                </c:pt>
                <c:pt idx="20">
                  <c:v>45610</c:v>
                </c:pt>
                <c:pt idx="21">
                  <c:v>45611</c:v>
                </c:pt>
                <c:pt idx="22">
                  <c:v>45612</c:v>
                </c:pt>
                <c:pt idx="23">
                  <c:v>45613</c:v>
                </c:pt>
                <c:pt idx="26">
                  <c:v>45614</c:v>
                </c:pt>
                <c:pt idx="27">
                  <c:v>45615</c:v>
                </c:pt>
                <c:pt idx="28">
                  <c:v>45616</c:v>
                </c:pt>
                <c:pt idx="29">
                  <c:v>45617</c:v>
                </c:pt>
                <c:pt idx="30">
                  <c:v>45618</c:v>
                </c:pt>
                <c:pt idx="31">
                  <c:v>45619</c:v>
                </c:pt>
                <c:pt idx="32">
                  <c:v>45620</c:v>
                </c:pt>
                <c:pt idx="35">
                  <c:v>45621</c:v>
                </c:pt>
                <c:pt idx="36">
                  <c:v>45622</c:v>
                </c:pt>
                <c:pt idx="37">
                  <c:v>45623</c:v>
                </c:pt>
                <c:pt idx="38">
                  <c:v>45624</c:v>
                </c:pt>
              </c:numCache>
            </c:numRef>
          </c:cat>
          <c:val>
            <c:numRef>
              <c:f>NOV!$Q$6:$Q$44</c:f>
              <c:numCache>
                <c:formatCode>#,##0.0</c:formatCode>
                <c:ptCount val="39"/>
                <c:pt idx="0">
                  <c:v>201827.05669709216</c:v>
                </c:pt>
                <c:pt idx="1">
                  <c:v>201827.05669709216</c:v>
                </c:pt>
                <c:pt idx="2">
                  <c:v>201827.05669709216</c:v>
                </c:pt>
                <c:pt idx="3">
                  <c:v>201827.05669709216</c:v>
                </c:pt>
                <c:pt idx="4">
                  <c:v>201827.05669709216</c:v>
                </c:pt>
                <c:pt idx="5">
                  <c:v>201827.05669709216</c:v>
                </c:pt>
                <c:pt idx="6">
                  <c:v>0</c:v>
                </c:pt>
                <c:pt idx="7">
                  <c:v>0</c:v>
                </c:pt>
                <c:pt idx="8">
                  <c:v>201827.05669709216</c:v>
                </c:pt>
                <c:pt idx="9">
                  <c:v>201827.05669709216</c:v>
                </c:pt>
                <c:pt idx="10">
                  <c:v>201827.05669709216</c:v>
                </c:pt>
                <c:pt idx="11">
                  <c:v>201827.05669709216</c:v>
                </c:pt>
                <c:pt idx="12">
                  <c:v>201827.05669709216</c:v>
                </c:pt>
                <c:pt idx="13">
                  <c:v>201827.05669709216</c:v>
                </c:pt>
                <c:pt idx="14">
                  <c:v>201827.05669709216</c:v>
                </c:pt>
                <c:pt idx="15">
                  <c:v>0</c:v>
                </c:pt>
                <c:pt idx="16">
                  <c:v>0</c:v>
                </c:pt>
                <c:pt idx="17">
                  <c:v>201827.05669709216</c:v>
                </c:pt>
                <c:pt idx="18">
                  <c:v>201827.05669709216</c:v>
                </c:pt>
                <c:pt idx="19">
                  <c:v>201827.05669709216</c:v>
                </c:pt>
                <c:pt idx="20">
                  <c:v>201827.05669709216</c:v>
                </c:pt>
                <c:pt idx="21">
                  <c:v>201827.05669709216</c:v>
                </c:pt>
                <c:pt idx="22">
                  <c:v>201827.05669709216</c:v>
                </c:pt>
                <c:pt idx="23">
                  <c:v>201827.05669709216</c:v>
                </c:pt>
                <c:pt idx="24">
                  <c:v>0</c:v>
                </c:pt>
                <c:pt idx="25">
                  <c:v>0</c:v>
                </c:pt>
                <c:pt idx="26">
                  <c:v>201827.05669709216</c:v>
                </c:pt>
                <c:pt idx="27">
                  <c:v>201827.05669709216</c:v>
                </c:pt>
                <c:pt idx="28">
                  <c:v>201827.05669709216</c:v>
                </c:pt>
                <c:pt idx="29">
                  <c:v>201827.05669709216</c:v>
                </c:pt>
                <c:pt idx="30">
                  <c:v>201827.05669709216</c:v>
                </c:pt>
                <c:pt idx="31">
                  <c:v>201827.05669709216</c:v>
                </c:pt>
                <c:pt idx="32">
                  <c:v>201827.05669709216</c:v>
                </c:pt>
                <c:pt idx="33">
                  <c:v>0</c:v>
                </c:pt>
                <c:pt idx="34">
                  <c:v>0</c:v>
                </c:pt>
                <c:pt idx="35">
                  <c:v>201827.05669709216</c:v>
                </c:pt>
                <c:pt idx="36">
                  <c:v>201827.05669709216</c:v>
                </c:pt>
                <c:pt idx="37">
                  <c:v>201827.05669709216</c:v>
                </c:pt>
                <c:pt idx="38">
                  <c:v>201827.05669709216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30-4843-8AB4-097D5A8618F6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NOV!$C$6:$C$44</c:f>
              <c:numCache>
                <c:formatCode>d;@</c:formatCode>
                <c:ptCount val="39"/>
                <c:pt idx="0">
                  <c:v>45594</c:v>
                </c:pt>
                <c:pt idx="1">
                  <c:v>45595</c:v>
                </c:pt>
                <c:pt idx="2">
                  <c:v>45596</c:v>
                </c:pt>
                <c:pt idx="3">
                  <c:v>45597</c:v>
                </c:pt>
                <c:pt idx="4">
                  <c:v>45598</c:v>
                </c:pt>
                <c:pt idx="5">
                  <c:v>45599</c:v>
                </c:pt>
                <c:pt idx="8">
                  <c:v>45600</c:v>
                </c:pt>
                <c:pt idx="9">
                  <c:v>45601</c:v>
                </c:pt>
                <c:pt idx="10">
                  <c:v>45602</c:v>
                </c:pt>
                <c:pt idx="11">
                  <c:v>45603</c:v>
                </c:pt>
                <c:pt idx="12">
                  <c:v>45604</c:v>
                </c:pt>
                <c:pt idx="13">
                  <c:v>45605</c:v>
                </c:pt>
                <c:pt idx="14">
                  <c:v>45606</c:v>
                </c:pt>
                <c:pt idx="17">
                  <c:v>45607</c:v>
                </c:pt>
                <c:pt idx="18">
                  <c:v>45608</c:v>
                </c:pt>
                <c:pt idx="19">
                  <c:v>45609</c:v>
                </c:pt>
                <c:pt idx="20">
                  <c:v>45610</c:v>
                </c:pt>
                <c:pt idx="21">
                  <c:v>45611</c:v>
                </c:pt>
                <c:pt idx="22">
                  <c:v>45612</c:v>
                </c:pt>
                <c:pt idx="23">
                  <c:v>45613</c:v>
                </c:pt>
                <c:pt idx="26">
                  <c:v>45614</c:v>
                </c:pt>
                <c:pt idx="27">
                  <c:v>45615</c:v>
                </c:pt>
                <c:pt idx="28">
                  <c:v>45616</c:v>
                </c:pt>
                <c:pt idx="29">
                  <c:v>45617</c:v>
                </c:pt>
                <c:pt idx="30">
                  <c:v>45618</c:v>
                </c:pt>
                <c:pt idx="31">
                  <c:v>45619</c:v>
                </c:pt>
                <c:pt idx="32">
                  <c:v>45620</c:v>
                </c:pt>
                <c:pt idx="35">
                  <c:v>45621</c:v>
                </c:pt>
                <c:pt idx="36">
                  <c:v>45622</c:v>
                </c:pt>
                <c:pt idx="37">
                  <c:v>45623</c:v>
                </c:pt>
                <c:pt idx="38">
                  <c:v>45624</c:v>
                </c:pt>
              </c:numCache>
            </c:numRef>
          </c:cat>
          <c:val>
            <c:numRef>
              <c:f>NOV!$AB$6:$AB$44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30-4843-8AB4-097D5A861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660032"/>
        <c:axId val="153665920"/>
      </c:lineChart>
      <c:dateAx>
        <c:axId val="153660032"/>
        <c:scaling>
          <c:orientation val="minMax"/>
          <c:max val="45260"/>
          <c:min val="4523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53665920"/>
        <c:crosses val="autoZero"/>
        <c:auto val="1"/>
        <c:lblOffset val="100"/>
        <c:baseTimeUnit val="days"/>
      </c:dateAx>
      <c:valAx>
        <c:axId val="153665920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536600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NOV!$C$7:$D$44</c:f>
              <c:numCache>
                <c:formatCode>d;@</c:formatCode>
                <c:ptCount val="38"/>
                <c:pt idx="0">
                  <c:v>45595</c:v>
                </c:pt>
                <c:pt idx="1">
                  <c:v>45596</c:v>
                </c:pt>
                <c:pt idx="2">
                  <c:v>45597</c:v>
                </c:pt>
                <c:pt idx="3">
                  <c:v>45598</c:v>
                </c:pt>
                <c:pt idx="4">
                  <c:v>45599</c:v>
                </c:pt>
                <c:pt idx="7">
                  <c:v>45600</c:v>
                </c:pt>
                <c:pt idx="8">
                  <c:v>45601</c:v>
                </c:pt>
                <c:pt idx="9">
                  <c:v>45602</c:v>
                </c:pt>
                <c:pt idx="10">
                  <c:v>45603</c:v>
                </c:pt>
                <c:pt idx="11">
                  <c:v>45604</c:v>
                </c:pt>
                <c:pt idx="12">
                  <c:v>45605</c:v>
                </c:pt>
                <c:pt idx="13">
                  <c:v>45606</c:v>
                </c:pt>
                <c:pt idx="16">
                  <c:v>45607</c:v>
                </c:pt>
                <c:pt idx="17">
                  <c:v>45608</c:v>
                </c:pt>
                <c:pt idx="18">
                  <c:v>45609</c:v>
                </c:pt>
                <c:pt idx="19">
                  <c:v>45610</c:v>
                </c:pt>
                <c:pt idx="20">
                  <c:v>45611</c:v>
                </c:pt>
                <c:pt idx="21">
                  <c:v>45612</c:v>
                </c:pt>
                <c:pt idx="22">
                  <c:v>45613</c:v>
                </c:pt>
                <c:pt idx="25">
                  <c:v>45614</c:v>
                </c:pt>
                <c:pt idx="26">
                  <c:v>45615</c:v>
                </c:pt>
                <c:pt idx="27">
                  <c:v>45616</c:v>
                </c:pt>
                <c:pt idx="28">
                  <c:v>45617</c:v>
                </c:pt>
                <c:pt idx="29">
                  <c:v>45618</c:v>
                </c:pt>
                <c:pt idx="30">
                  <c:v>45619</c:v>
                </c:pt>
                <c:pt idx="31">
                  <c:v>45620</c:v>
                </c:pt>
                <c:pt idx="34">
                  <c:v>45621</c:v>
                </c:pt>
                <c:pt idx="35">
                  <c:v>45622</c:v>
                </c:pt>
                <c:pt idx="36">
                  <c:v>45623</c:v>
                </c:pt>
                <c:pt idx="37">
                  <c:v>45624</c:v>
                </c:pt>
              </c:numCache>
            </c:numRef>
          </c:cat>
          <c:val>
            <c:numRef>
              <c:f>NOV!$R$7:$R$44</c:f>
              <c:numCache>
                <c:formatCode>#,##0.0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2-4D45-B8F7-9B7A8679D647}"/>
            </c:ext>
          </c:extLst>
        </c:ser>
        <c:ser>
          <c:idx val="1"/>
          <c:order val="1"/>
          <c:invertIfNegative val="0"/>
          <c:cat>
            <c:numRef>
              <c:f>NOV!$C$7:$D$44</c:f>
              <c:numCache>
                <c:formatCode>d;@</c:formatCode>
                <c:ptCount val="38"/>
                <c:pt idx="0">
                  <c:v>45595</c:v>
                </c:pt>
                <c:pt idx="1">
                  <c:v>45596</c:v>
                </c:pt>
                <c:pt idx="2">
                  <c:v>45597</c:v>
                </c:pt>
                <c:pt idx="3">
                  <c:v>45598</c:v>
                </c:pt>
                <c:pt idx="4">
                  <c:v>45599</c:v>
                </c:pt>
                <c:pt idx="7">
                  <c:v>45600</c:v>
                </c:pt>
                <c:pt idx="8">
                  <c:v>45601</c:v>
                </c:pt>
                <c:pt idx="9">
                  <c:v>45602</c:v>
                </c:pt>
                <c:pt idx="10">
                  <c:v>45603</c:v>
                </c:pt>
                <c:pt idx="11">
                  <c:v>45604</c:v>
                </c:pt>
                <c:pt idx="12">
                  <c:v>45605</c:v>
                </c:pt>
                <c:pt idx="13">
                  <c:v>45606</c:v>
                </c:pt>
                <c:pt idx="16">
                  <c:v>45607</c:v>
                </c:pt>
                <c:pt idx="17">
                  <c:v>45608</c:v>
                </c:pt>
                <c:pt idx="18">
                  <c:v>45609</c:v>
                </c:pt>
                <c:pt idx="19">
                  <c:v>45610</c:v>
                </c:pt>
                <c:pt idx="20">
                  <c:v>45611</c:v>
                </c:pt>
                <c:pt idx="21">
                  <c:v>45612</c:v>
                </c:pt>
                <c:pt idx="22">
                  <c:v>45613</c:v>
                </c:pt>
                <c:pt idx="25">
                  <c:v>45614</c:v>
                </c:pt>
                <c:pt idx="26">
                  <c:v>45615</c:v>
                </c:pt>
                <c:pt idx="27">
                  <c:v>45616</c:v>
                </c:pt>
                <c:pt idx="28">
                  <c:v>45617</c:v>
                </c:pt>
                <c:pt idx="29">
                  <c:v>45618</c:v>
                </c:pt>
                <c:pt idx="30">
                  <c:v>45619</c:v>
                </c:pt>
                <c:pt idx="31">
                  <c:v>45620</c:v>
                </c:pt>
                <c:pt idx="34">
                  <c:v>45621</c:v>
                </c:pt>
                <c:pt idx="35">
                  <c:v>45622</c:v>
                </c:pt>
                <c:pt idx="36">
                  <c:v>45623</c:v>
                </c:pt>
                <c:pt idx="37">
                  <c:v>45624</c:v>
                </c:pt>
              </c:numCache>
            </c:numRef>
          </c:cat>
          <c:val>
            <c:numRef>
              <c:f>NOV!$T$5:$T$43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9872-4D45-B8F7-9B7A8679D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NOV!$C$7:$D$44</c:f>
              <c:numCache>
                <c:formatCode>d;@</c:formatCode>
                <c:ptCount val="38"/>
                <c:pt idx="0">
                  <c:v>45595</c:v>
                </c:pt>
                <c:pt idx="1">
                  <c:v>45596</c:v>
                </c:pt>
                <c:pt idx="2">
                  <c:v>45597</c:v>
                </c:pt>
                <c:pt idx="3">
                  <c:v>45598</c:v>
                </c:pt>
                <c:pt idx="4">
                  <c:v>45599</c:v>
                </c:pt>
                <c:pt idx="7">
                  <c:v>45600</c:v>
                </c:pt>
                <c:pt idx="8">
                  <c:v>45601</c:v>
                </c:pt>
                <c:pt idx="9">
                  <c:v>45602</c:v>
                </c:pt>
                <c:pt idx="10">
                  <c:v>45603</c:v>
                </c:pt>
                <c:pt idx="11">
                  <c:v>45604</c:v>
                </c:pt>
                <c:pt idx="12">
                  <c:v>45605</c:v>
                </c:pt>
                <c:pt idx="13">
                  <c:v>45606</c:v>
                </c:pt>
                <c:pt idx="16">
                  <c:v>45607</c:v>
                </c:pt>
                <c:pt idx="17">
                  <c:v>45608</c:v>
                </c:pt>
                <c:pt idx="18">
                  <c:v>45609</c:v>
                </c:pt>
                <c:pt idx="19">
                  <c:v>45610</c:v>
                </c:pt>
                <c:pt idx="20">
                  <c:v>45611</c:v>
                </c:pt>
                <c:pt idx="21">
                  <c:v>45612</c:v>
                </c:pt>
                <c:pt idx="22">
                  <c:v>45613</c:v>
                </c:pt>
                <c:pt idx="25">
                  <c:v>45614</c:v>
                </c:pt>
                <c:pt idx="26">
                  <c:v>45615</c:v>
                </c:pt>
                <c:pt idx="27">
                  <c:v>45616</c:v>
                </c:pt>
                <c:pt idx="28">
                  <c:v>45617</c:v>
                </c:pt>
                <c:pt idx="29">
                  <c:v>45618</c:v>
                </c:pt>
                <c:pt idx="30">
                  <c:v>45619</c:v>
                </c:pt>
                <c:pt idx="31">
                  <c:v>45620</c:v>
                </c:pt>
                <c:pt idx="34">
                  <c:v>45621</c:v>
                </c:pt>
                <c:pt idx="35">
                  <c:v>45622</c:v>
                </c:pt>
                <c:pt idx="36">
                  <c:v>45623</c:v>
                </c:pt>
                <c:pt idx="37">
                  <c:v>45624</c:v>
                </c:pt>
              </c:numCache>
            </c:numRef>
          </c:cat>
          <c:val>
            <c:numRef>
              <c:f>NOV!$U$5:$U$43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9872-4D45-B8F7-9B7A8679D647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NOV!$C$7:$D$44</c:f>
              <c:numCache>
                <c:formatCode>d;@</c:formatCode>
                <c:ptCount val="38"/>
                <c:pt idx="0">
                  <c:v>45595</c:v>
                </c:pt>
                <c:pt idx="1">
                  <c:v>45596</c:v>
                </c:pt>
                <c:pt idx="2">
                  <c:v>45597</c:v>
                </c:pt>
                <c:pt idx="3">
                  <c:v>45598</c:v>
                </c:pt>
                <c:pt idx="4">
                  <c:v>45599</c:v>
                </c:pt>
                <c:pt idx="7">
                  <c:v>45600</c:v>
                </c:pt>
                <c:pt idx="8">
                  <c:v>45601</c:v>
                </c:pt>
                <c:pt idx="9">
                  <c:v>45602</c:v>
                </c:pt>
                <c:pt idx="10">
                  <c:v>45603</c:v>
                </c:pt>
                <c:pt idx="11">
                  <c:v>45604</c:v>
                </c:pt>
                <c:pt idx="12">
                  <c:v>45605</c:v>
                </c:pt>
                <c:pt idx="13">
                  <c:v>45606</c:v>
                </c:pt>
                <c:pt idx="16">
                  <c:v>45607</c:v>
                </c:pt>
                <c:pt idx="17">
                  <c:v>45608</c:v>
                </c:pt>
                <c:pt idx="18">
                  <c:v>45609</c:v>
                </c:pt>
                <c:pt idx="19">
                  <c:v>45610</c:v>
                </c:pt>
                <c:pt idx="20">
                  <c:v>45611</c:v>
                </c:pt>
                <c:pt idx="21">
                  <c:v>45612</c:v>
                </c:pt>
                <c:pt idx="22">
                  <c:v>45613</c:v>
                </c:pt>
                <c:pt idx="25">
                  <c:v>45614</c:v>
                </c:pt>
                <c:pt idx="26">
                  <c:v>45615</c:v>
                </c:pt>
                <c:pt idx="27">
                  <c:v>45616</c:v>
                </c:pt>
                <c:pt idx="28">
                  <c:v>45617</c:v>
                </c:pt>
                <c:pt idx="29">
                  <c:v>45618</c:v>
                </c:pt>
                <c:pt idx="30">
                  <c:v>45619</c:v>
                </c:pt>
                <c:pt idx="31">
                  <c:v>45620</c:v>
                </c:pt>
                <c:pt idx="34">
                  <c:v>45621</c:v>
                </c:pt>
                <c:pt idx="35">
                  <c:v>45622</c:v>
                </c:pt>
                <c:pt idx="36">
                  <c:v>45623</c:v>
                </c:pt>
                <c:pt idx="37">
                  <c:v>45624</c:v>
                </c:pt>
              </c:numCache>
            </c:numRef>
          </c:cat>
          <c:val>
            <c:numRef>
              <c:f>NOV!$V$7:$V$44</c:f>
              <c:numCache>
                <c:formatCode>#,##0.00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872-4D45-B8F7-9B7A8679D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260"/>
          <c:min val="45231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NOV!$O$53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NOV!$P$53:$V$53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7C-1748-8263-9953654876D4}"/>
            </c:ext>
          </c:extLst>
        </c:ser>
        <c:ser>
          <c:idx val="1"/>
          <c:order val="1"/>
          <c:tx>
            <c:strRef>
              <c:f>NOV!$O$54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7C-1748-8263-9953654876D4}"/>
            </c:ext>
          </c:extLst>
        </c:ser>
        <c:ser>
          <c:idx val="2"/>
          <c:order val="2"/>
          <c:tx>
            <c:strRef>
              <c:f>NOV!$O$55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7C-1748-8263-9953654876D4}"/>
            </c:ext>
          </c:extLst>
        </c:ser>
        <c:ser>
          <c:idx val="4"/>
          <c:order val="3"/>
          <c:tx>
            <c:strRef>
              <c:f>NOV!$O$56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4A7C-1748-8263-9953654876D4}"/>
            </c:ext>
          </c:extLst>
        </c:ser>
        <c:ser>
          <c:idx val="6"/>
          <c:order val="4"/>
          <c:tx>
            <c:strRef>
              <c:f>NOV!$O$59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NOV!$P$52:$V$52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NOV!$P$59:$V$59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7C-1748-8263-995365487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933312"/>
        <c:axId val="153934848"/>
      </c:barChart>
      <c:catAx>
        <c:axId val="15393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53934848"/>
        <c:crosses val="autoZero"/>
        <c:auto val="0"/>
        <c:lblAlgn val="ctr"/>
        <c:lblOffset val="100"/>
        <c:noMultiLvlLbl val="0"/>
      </c:catAx>
      <c:valAx>
        <c:axId val="153934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53933312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412732960050839"/>
          <c:y val="0.2621032457942301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2663840470202"/>
          <c:y val="6.4320826207960313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DEC!$C$8:$D$47</c:f>
              <c:numCache>
                <c:formatCode>d;@</c:formatCode>
                <c:ptCount val="40"/>
                <c:pt idx="0">
                  <c:v>45624</c:v>
                </c:pt>
                <c:pt idx="1">
                  <c:v>45625</c:v>
                </c:pt>
                <c:pt idx="2">
                  <c:v>45626</c:v>
                </c:pt>
                <c:pt idx="3">
                  <c:v>45627</c:v>
                </c:pt>
                <c:pt idx="6">
                  <c:v>45628</c:v>
                </c:pt>
                <c:pt idx="7">
                  <c:v>45629</c:v>
                </c:pt>
                <c:pt idx="8">
                  <c:v>45630</c:v>
                </c:pt>
                <c:pt idx="9">
                  <c:v>45631</c:v>
                </c:pt>
                <c:pt idx="10">
                  <c:v>45632</c:v>
                </c:pt>
                <c:pt idx="11">
                  <c:v>45633</c:v>
                </c:pt>
                <c:pt idx="12">
                  <c:v>45634</c:v>
                </c:pt>
                <c:pt idx="15">
                  <c:v>45635</c:v>
                </c:pt>
                <c:pt idx="16">
                  <c:v>45636</c:v>
                </c:pt>
                <c:pt idx="17">
                  <c:v>45637</c:v>
                </c:pt>
                <c:pt idx="18">
                  <c:v>45638</c:v>
                </c:pt>
                <c:pt idx="19">
                  <c:v>45639</c:v>
                </c:pt>
                <c:pt idx="20">
                  <c:v>45640</c:v>
                </c:pt>
                <c:pt idx="21">
                  <c:v>45641</c:v>
                </c:pt>
                <c:pt idx="24">
                  <c:v>45642</c:v>
                </c:pt>
                <c:pt idx="25">
                  <c:v>45643</c:v>
                </c:pt>
                <c:pt idx="26">
                  <c:v>45644</c:v>
                </c:pt>
                <c:pt idx="27">
                  <c:v>45645</c:v>
                </c:pt>
                <c:pt idx="28">
                  <c:v>45646</c:v>
                </c:pt>
                <c:pt idx="29">
                  <c:v>45647</c:v>
                </c:pt>
                <c:pt idx="30">
                  <c:v>45648</c:v>
                </c:pt>
                <c:pt idx="33">
                  <c:v>45649</c:v>
                </c:pt>
                <c:pt idx="34">
                  <c:v>45650</c:v>
                </c:pt>
                <c:pt idx="35">
                  <c:v>45651</c:v>
                </c:pt>
                <c:pt idx="36">
                  <c:v>45652</c:v>
                </c:pt>
                <c:pt idx="37">
                  <c:v>45653</c:v>
                </c:pt>
                <c:pt idx="38">
                  <c:v>45654</c:v>
                </c:pt>
                <c:pt idx="39">
                  <c:v>45655</c:v>
                </c:pt>
              </c:numCache>
            </c:numRef>
          </c:cat>
          <c:val>
            <c:numRef>
              <c:f>DEC!$Q$8:$Q$47</c:f>
              <c:numCache>
                <c:formatCode>#,##0.0</c:formatCode>
                <c:ptCount val="40"/>
                <c:pt idx="0">
                  <c:v>410381.75672653614</c:v>
                </c:pt>
                <c:pt idx="1">
                  <c:v>410381.75672653614</c:v>
                </c:pt>
                <c:pt idx="2">
                  <c:v>410381.75672653614</c:v>
                </c:pt>
                <c:pt idx="3">
                  <c:v>410381.75672653614</c:v>
                </c:pt>
                <c:pt idx="4">
                  <c:v>0</c:v>
                </c:pt>
                <c:pt idx="5">
                  <c:v>0</c:v>
                </c:pt>
                <c:pt idx="6">
                  <c:v>410381.75672653614</c:v>
                </c:pt>
                <c:pt idx="7">
                  <c:v>410381.75672653614</c:v>
                </c:pt>
                <c:pt idx="8">
                  <c:v>410381.75672653614</c:v>
                </c:pt>
                <c:pt idx="9">
                  <c:v>410381.75672653614</c:v>
                </c:pt>
                <c:pt idx="10">
                  <c:v>410381.75672653614</c:v>
                </c:pt>
                <c:pt idx="11">
                  <c:v>410381.75672653614</c:v>
                </c:pt>
                <c:pt idx="12">
                  <c:v>410381.75672653614</c:v>
                </c:pt>
                <c:pt idx="13">
                  <c:v>0</c:v>
                </c:pt>
                <c:pt idx="14">
                  <c:v>0</c:v>
                </c:pt>
                <c:pt idx="15">
                  <c:v>410381.75672653614</c:v>
                </c:pt>
                <c:pt idx="16">
                  <c:v>410381.75672653614</c:v>
                </c:pt>
                <c:pt idx="17">
                  <c:v>410381.75672653614</c:v>
                </c:pt>
                <c:pt idx="18">
                  <c:v>410381.75672653614</c:v>
                </c:pt>
                <c:pt idx="19">
                  <c:v>410381.75672653614</c:v>
                </c:pt>
                <c:pt idx="20">
                  <c:v>410381.75672653614</c:v>
                </c:pt>
                <c:pt idx="21">
                  <c:v>410381.75672653614</c:v>
                </c:pt>
                <c:pt idx="22">
                  <c:v>0</c:v>
                </c:pt>
                <c:pt idx="23">
                  <c:v>0</c:v>
                </c:pt>
                <c:pt idx="24">
                  <c:v>410381.75672653614</c:v>
                </c:pt>
                <c:pt idx="25">
                  <c:v>410381.75672653614</c:v>
                </c:pt>
                <c:pt idx="26">
                  <c:v>410381.75672653614</c:v>
                </c:pt>
                <c:pt idx="27">
                  <c:v>410381.75672653614</c:v>
                </c:pt>
                <c:pt idx="28">
                  <c:v>410381.75672653614</c:v>
                </c:pt>
                <c:pt idx="29">
                  <c:v>410381.75672653614</c:v>
                </c:pt>
                <c:pt idx="30">
                  <c:v>410381.75672653614</c:v>
                </c:pt>
                <c:pt idx="31">
                  <c:v>0</c:v>
                </c:pt>
                <c:pt idx="32">
                  <c:v>0</c:v>
                </c:pt>
                <c:pt idx="33">
                  <c:v>410381.75672653614</c:v>
                </c:pt>
                <c:pt idx="34">
                  <c:v>410381.75672653614</c:v>
                </c:pt>
                <c:pt idx="35">
                  <c:v>410381.75672653614</c:v>
                </c:pt>
                <c:pt idx="36">
                  <c:v>410381.75672653614</c:v>
                </c:pt>
                <c:pt idx="37">
                  <c:v>410381.75672653614</c:v>
                </c:pt>
                <c:pt idx="38">
                  <c:v>410381.75672653614</c:v>
                </c:pt>
                <c:pt idx="39">
                  <c:v>410381.75672653614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0B-CC46-BF94-492FFE89384F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DEC!$C$8:$D$47</c:f>
              <c:numCache>
                <c:formatCode>d;@</c:formatCode>
                <c:ptCount val="40"/>
                <c:pt idx="0">
                  <c:v>45624</c:v>
                </c:pt>
                <c:pt idx="1">
                  <c:v>45625</c:v>
                </c:pt>
                <c:pt idx="2">
                  <c:v>45626</c:v>
                </c:pt>
                <c:pt idx="3">
                  <c:v>45627</c:v>
                </c:pt>
                <c:pt idx="6">
                  <c:v>45628</c:v>
                </c:pt>
                <c:pt idx="7">
                  <c:v>45629</c:v>
                </c:pt>
                <c:pt idx="8">
                  <c:v>45630</c:v>
                </c:pt>
                <c:pt idx="9">
                  <c:v>45631</c:v>
                </c:pt>
                <c:pt idx="10">
                  <c:v>45632</c:v>
                </c:pt>
                <c:pt idx="11">
                  <c:v>45633</c:v>
                </c:pt>
                <c:pt idx="12">
                  <c:v>45634</c:v>
                </c:pt>
                <c:pt idx="15">
                  <c:v>45635</c:v>
                </c:pt>
                <c:pt idx="16">
                  <c:v>45636</c:v>
                </c:pt>
                <c:pt idx="17">
                  <c:v>45637</c:v>
                </c:pt>
                <c:pt idx="18">
                  <c:v>45638</c:v>
                </c:pt>
                <c:pt idx="19">
                  <c:v>45639</c:v>
                </c:pt>
                <c:pt idx="20">
                  <c:v>45640</c:v>
                </c:pt>
                <c:pt idx="21">
                  <c:v>45641</c:v>
                </c:pt>
                <c:pt idx="24">
                  <c:v>45642</c:v>
                </c:pt>
                <c:pt idx="25">
                  <c:v>45643</c:v>
                </c:pt>
                <c:pt idx="26">
                  <c:v>45644</c:v>
                </c:pt>
                <c:pt idx="27">
                  <c:v>45645</c:v>
                </c:pt>
                <c:pt idx="28">
                  <c:v>45646</c:v>
                </c:pt>
                <c:pt idx="29">
                  <c:v>45647</c:v>
                </c:pt>
                <c:pt idx="30">
                  <c:v>45648</c:v>
                </c:pt>
                <c:pt idx="33">
                  <c:v>45649</c:v>
                </c:pt>
                <c:pt idx="34">
                  <c:v>45650</c:v>
                </c:pt>
                <c:pt idx="35">
                  <c:v>45651</c:v>
                </c:pt>
                <c:pt idx="36">
                  <c:v>45652</c:v>
                </c:pt>
                <c:pt idx="37">
                  <c:v>45653</c:v>
                </c:pt>
                <c:pt idx="38">
                  <c:v>45654</c:v>
                </c:pt>
                <c:pt idx="39">
                  <c:v>45655</c:v>
                </c:pt>
              </c:numCache>
            </c:numRef>
          </c:cat>
          <c:val>
            <c:numRef>
              <c:f>DEC!$AB$8:$AB$47</c:f>
              <c:numCache>
                <c:formatCode>#,##0.0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B-CC46-BF94-492FFE893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647552"/>
        <c:axId val="172649088"/>
      </c:lineChart>
      <c:dateAx>
        <c:axId val="172647552"/>
        <c:scaling>
          <c:orientation val="minMax"/>
          <c:max val="45291"/>
          <c:min val="45260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172649088"/>
        <c:crosses val="autoZero"/>
        <c:auto val="1"/>
        <c:lblOffset val="100"/>
        <c:baseTimeUnit val="days"/>
      </c:dateAx>
      <c:valAx>
        <c:axId val="172649088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72647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DEC!$C$9:$D$47</c:f>
              <c:numCache>
                <c:formatCode>d;@</c:formatCode>
                <c:ptCount val="39"/>
                <c:pt idx="0">
                  <c:v>45625</c:v>
                </c:pt>
                <c:pt idx="1">
                  <c:v>45626</c:v>
                </c:pt>
                <c:pt idx="2">
                  <c:v>45627</c:v>
                </c:pt>
                <c:pt idx="5">
                  <c:v>45628</c:v>
                </c:pt>
                <c:pt idx="6">
                  <c:v>45629</c:v>
                </c:pt>
                <c:pt idx="7">
                  <c:v>45630</c:v>
                </c:pt>
                <c:pt idx="8">
                  <c:v>45631</c:v>
                </c:pt>
                <c:pt idx="9">
                  <c:v>45632</c:v>
                </c:pt>
                <c:pt idx="10">
                  <c:v>45633</c:v>
                </c:pt>
                <c:pt idx="11">
                  <c:v>45634</c:v>
                </c:pt>
                <c:pt idx="14">
                  <c:v>45635</c:v>
                </c:pt>
                <c:pt idx="15">
                  <c:v>45636</c:v>
                </c:pt>
                <c:pt idx="16">
                  <c:v>45637</c:v>
                </c:pt>
                <c:pt idx="17">
                  <c:v>45638</c:v>
                </c:pt>
                <c:pt idx="18">
                  <c:v>45639</c:v>
                </c:pt>
                <c:pt idx="19">
                  <c:v>45640</c:v>
                </c:pt>
                <c:pt idx="20">
                  <c:v>45641</c:v>
                </c:pt>
                <c:pt idx="23">
                  <c:v>45642</c:v>
                </c:pt>
                <c:pt idx="24">
                  <c:v>45643</c:v>
                </c:pt>
                <c:pt idx="25">
                  <c:v>45644</c:v>
                </c:pt>
                <c:pt idx="26">
                  <c:v>45645</c:v>
                </c:pt>
                <c:pt idx="27">
                  <c:v>45646</c:v>
                </c:pt>
                <c:pt idx="28">
                  <c:v>45647</c:v>
                </c:pt>
                <c:pt idx="29">
                  <c:v>45648</c:v>
                </c:pt>
                <c:pt idx="32">
                  <c:v>45649</c:v>
                </c:pt>
                <c:pt idx="33">
                  <c:v>45650</c:v>
                </c:pt>
                <c:pt idx="34">
                  <c:v>45651</c:v>
                </c:pt>
                <c:pt idx="35">
                  <c:v>45652</c:v>
                </c:pt>
                <c:pt idx="36">
                  <c:v>45653</c:v>
                </c:pt>
                <c:pt idx="37">
                  <c:v>45654</c:v>
                </c:pt>
                <c:pt idx="38">
                  <c:v>45655</c:v>
                </c:pt>
              </c:numCache>
            </c:numRef>
          </c:cat>
          <c:val>
            <c:numRef>
              <c:f>DEC!$R$9:$R$47</c:f>
              <c:numCache>
                <c:formatCode>#,##0.0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A-7546-9AA1-38ED3ADC7ED2}"/>
            </c:ext>
          </c:extLst>
        </c:ser>
        <c:ser>
          <c:idx val="1"/>
          <c:order val="1"/>
          <c:invertIfNegative val="0"/>
          <c:cat>
            <c:numRef>
              <c:f>DEC!$C$9:$D$47</c:f>
              <c:numCache>
                <c:formatCode>d;@</c:formatCode>
                <c:ptCount val="39"/>
                <c:pt idx="0">
                  <c:v>45625</c:v>
                </c:pt>
                <c:pt idx="1">
                  <c:v>45626</c:v>
                </c:pt>
                <c:pt idx="2">
                  <c:v>45627</c:v>
                </c:pt>
                <c:pt idx="5">
                  <c:v>45628</c:v>
                </c:pt>
                <c:pt idx="6">
                  <c:v>45629</c:v>
                </c:pt>
                <c:pt idx="7">
                  <c:v>45630</c:v>
                </c:pt>
                <c:pt idx="8">
                  <c:v>45631</c:v>
                </c:pt>
                <c:pt idx="9">
                  <c:v>45632</c:v>
                </c:pt>
                <c:pt idx="10">
                  <c:v>45633</c:v>
                </c:pt>
                <c:pt idx="11">
                  <c:v>45634</c:v>
                </c:pt>
                <c:pt idx="14">
                  <c:v>45635</c:v>
                </c:pt>
                <c:pt idx="15">
                  <c:v>45636</c:v>
                </c:pt>
                <c:pt idx="16">
                  <c:v>45637</c:v>
                </c:pt>
                <c:pt idx="17">
                  <c:v>45638</c:v>
                </c:pt>
                <c:pt idx="18">
                  <c:v>45639</c:v>
                </c:pt>
                <c:pt idx="19">
                  <c:v>45640</c:v>
                </c:pt>
                <c:pt idx="20">
                  <c:v>45641</c:v>
                </c:pt>
                <c:pt idx="23">
                  <c:v>45642</c:v>
                </c:pt>
                <c:pt idx="24">
                  <c:v>45643</c:v>
                </c:pt>
                <c:pt idx="25">
                  <c:v>45644</c:v>
                </c:pt>
                <c:pt idx="26">
                  <c:v>45645</c:v>
                </c:pt>
                <c:pt idx="27">
                  <c:v>45646</c:v>
                </c:pt>
                <c:pt idx="28">
                  <c:v>45647</c:v>
                </c:pt>
                <c:pt idx="29">
                  <c:v>45648</c:v>
                </c:pt>
                <c:pt idx="32">
                  <c:v>45649</c:v>
                </c:pt>
                <c:pt idx="33">
                  <c:v>45650</c:v>
                </c:pt>
                <c:pt idx="34">
                  <c:v>45651</c:v>
                </c:pt>
                <c:pt idx="35">
                  <c:v>45652</c:v>
                </c:pt>
                <c:pt idx="36">
                  <c:v>45653</c:v>
                </c:pt>
                <c:pt idx="37">
                  <c:v>45654</c:v>
                </c:pt>
                <c:pt idx="38">
                  <c:v>45655</c:v>
                </c:pt>
              </c:numCache>
            </c:numRef>
          </c:cat>
          <c:val>
            <c:numRef>
              <c:f>DEC!$T$5:$T$43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8C0A-7546-9AA1-38ED3ADC7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DEC!$C$9:$C$47</c:f>
              <c:numCache>
                <c:formatCode>d;@</c:formatCode>
                <c:ptCount val="39"/>
                <c:pt idx="0">
                  <c:v>45625</c:v>
                </c:pt>
                <c:pt idx="1">
                  <c:v>45626</c:v>
                </c:pt>
                <c:pt idx="2">
                  <c:v>45627</c:v>
                </c:pt>
                <c:pt idx="5">
                  <c:v>45628</c:v>
                </c:pt>
                <c:pt idx="6">
                  <c:v>45629</c:v>
                </c:pt>
                <c:pt idx="7">
                  <c:v>45630</c:v>
                </c:pt>
                <c:pt idx="8">
                  <c:v>45631</c:v>
                </c:pt>
                <c:pt idx="9">
                  <c:v>45632</c:v>
                </c:pt>
                <c:pt idx="10">
                  <c:v>45633</c:v>
                </c:pt>
                <c:pt idx="11">
                  <c:v>45634</c:v>
                </c:pt>
                <c:pt idx="14">
                  <c:v>45635</c:v>
                </c:pt>
                <c:pt idx="15">
                  <c:v>45636</c:v>
                </c:pt>
                <c:pt idx="16">
                  <c:v>45637</c:v>
                </c:pt>
                <c:pt idx="17">
                  <c:v>45638</c:v>
                </c:pt>
                <c:pt idx="18">
                  <c:v>45639</c:v>
                </c:pt>
                <c:pt idx="19">
                  <c:v>45640</c:v>
                </c:pt>
                <c:pt idx="20">
                  <c:v>45641</c:v>
                </c:pt>
                <c:pt idx="23">
                  <c:v>45642</c:v>
                </c:pt>
                <c:pt idx="24">
                  <c:v>45643</c:v>
                </c:pt>
                <c:pt idx="25">
                  <c:v>45644</c:v>
                </c:pt>
                <c:pt idx="26">
                  <c:v>45645</c:v>
                </c:pt>
                <c:pt idx="27">
                  <c:v>45646</c:v>
                </c:pt>
                <c:pt idx="28">
                  <c:v>45647</c:v>
                </c:pt>
                <c:pt idx="29">
                  <c:v>45648</c:v>
                </c:pt>
                <c:pt idx="32">
                  <c:v>45649</c:v>
                </c:pt>
                <c:pt idx="33">
                  <c:v>45650</c:v>
                </c:pt>
                <c:pt idx="34">
                  <c:v>45651</c:v>
                </c:pt>
                <c:pt idx="35">
                  <c:v>45652</c:v>
                </c:pt>
                <c:pt idx="36">
                  <c:v>45653</c:v>
                </c:pt>
                <c:pt idx="37">
                  <c:v>45654</c:v>
                </c:pt>
                <c:pt idx="38">
                  <c:v>45655</c:v>
                </c:pt>
              </c:numCache>
            </c:numRef>
          </c:cat>
          <c:val>
            <c:numRef>
              <c:f>DEC!$U$5:$U$43</c:f>
              <c:numCache>
                <c:formatCode>#,##0.0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8C0A-7546-9AA1-38ED3ADC7ED2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DEC!$C$9:$C$47</c:f>
              <c:numCache>
                <c:formatCode>d;@</c:formatCode>
                <c:ptCount val="39"/>
                <c:pt idx="0">
                  <c:v>45625</c:v>
                </c:pt>
                <c:pt idx="1">
                  <c:v>45626</c:v>
                </c:pt>
                <c:pt idx="2">
                  <c:v>45627</c:v>
                </c:pt>
                <c:pt idx="5">
                  <c:v>45628</c:v>
                </c:pt>
                <c:pt idx="6">
                  <c:v>45629</c:v>
                </c:pt>
                <c:pt idx="7">
                  <c:v>45630</c:v>
                </c:pt>
                <c:pt idx="8">
                  <c:v>45631</c:v>
                </c:pt>
                <c:pt idx="9">
                  <c:v>45632</c:v>
                </c:pt>
                <c:pt idx="10">
                  <c:v>45633</c:v>
                </c:pt>
                <c:pt idx="11">
                  <c:v>45634</c:v>
                </c:pt>
                <c:pt idx="14">
                  <c:v>45635</c:v>
                </c:pt>
                <c:pt idx="15">
                  <c:v>45636</c:v>
                </c:pt>
                <c:pt idx="16">
                  <c:v>45637</c:v>
                </c:pt>
                <c:pt idx="17">
                  <c:v>45638</c:v>
                </c:pt>
                <c:pt idx="18">
                  <c:v>45639</c:v>
                </c:pt>
                <c:pt idx="19">
                  <c:v>45640</c:v>
                </c:pt>
                <c:pt idx="20">
                  <c:v>45641</c:v>
                </c:pt>
                <c:pt idx="23">
                  <c:v>45642</c:v>
                </c:pt>
                <c:pt idx="24">
                  <c:v>45643</c:v>
                </c:pt>
                <c:pt idx="25">
                  <c:v>45644</c:v>
                </c:pt>
                <c:pt idx="26">
                  <c:v>45645</c:v>
                </c:pt>
                <c:pt idx="27">
                  <c:v>45646</c:v>
                </c:pt>
                <c:pt idx="28">
                  <c:v>45647</c:v>
                </c:pt>
                <c:pt idx="29">
                  <c:v>45648</c:v>
                </c:pt>
                <c:pt idx="32">
                  <c:v>45649</c:v>
                </c:pt>
                <c:pt idx="33">
                  <c:v>45650</c:v>
                </c:pt>
                <c:pt idx="34">
                  <c:v>45651</c:v>
                </c:pt>
                <c:pt idx="35">
                  <c:v>45652</c:v>
                </c:pt>
                <c:pt idx="36">
                  <c:v>45653</c:v>
                </c:pt>
                <c:pt idx="37">
                  <c:v>45654</c:v>
                </c:pt>
                <c:pt idx="38">
                  <c:v>45655</c:v>
                </c:pt>
              </c:numCache>
            </c:numRef>
          </c:cat>
          <c:val>
            <c:numRef>
              <c:f>DEC!$V$9:$V$47</c:f>
              <c:numCache>
                <c:formatCode>#,##0.00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0A-7546-9AA1-38ED3ADC7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291"/>
          <c:min val="45261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66470198716636E-2"/>
          <c:y val="8.4472310947661833E-2"/>
          <c:w val="0.90267270121227272"/>
          <c:h val="0.7262696850393685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'MY STATS'!$W$31</c:f>
              <c:strCache>
                <c:ptCount val="1"/>
                <c:pt idx="0">
                  <c:v>total below target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'MY STATS'!$E$32:$E$43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'MY STATS'!$W$32:$W$43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7-1541-A70F-470F661F9449}"/>
            </c:ext>
          </c:extLst>
        </c:ser>
        <c:ser>
          <c:idx val="2"/>
          <c:order val="1"/>
          <c:tx>
            <c:strRef>
              <c:f>'MY STATS'!$Y$31</c:f>
              <c:strCache>
                <c:ptCount val="1"/>
                <c:pt idx="0">
                  <c:v>total above target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'MY STATS'!$E$32:$E$43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'MY STATS'!$Y$32:$Y$43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57-1541-A70F-470F661F9449}"/>
            </c:ext>
          </c:extLst>
        </c:ser>
        <c:ser>
          <c:idx val="0"/>
          <c:order val="3"/>
          <c:tx>
            <c:strRef>
              <c:f>'MY STATS'!$T$31</c:f>
              <c:strCache>
                <c:ptCount val="1"/>
                <c:pt idx="0">
                  <c:v> this month</c:v>
                </c:pt>
              </c:strCache>
            </c:strRef>
          </c:tx>
          <c:spPr>
            <a:solidFill>
              <a:srgbClr val="FFFF33">
                <a:alpha val="80000"/>
              </a:srgbClr>
            </a:solidFill>
            <a:ln>
              <a:solidFill>
                <a:srgbClr val="002060"/>
              </a:solidFill>
            </a:ln>
          </c:spPr>
          <c:invertIfNegative val="0"/>
          <c:cat>
            <c:strRef>
              <c:f>'MY STATS'!$E$32:$E$43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Mar.</c:v>
                </c:pt>
                <c:pt idx="3">
                  <c:v>Apr.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'MY STATS'!$T$32:$T$43</c:f>
              <c:numCache>
                <c:formatCode>#,##0</c:formatCode>
                <c:ptCount val="12"/>
                <c:pt idx="0">
                  <c:v>-1E-54</c:v>
                </c:pt>
                <c:pt idx="1">
                  <c:v>-1E-54</c:v>
                </c:pt>
                <c:pt idx="2">
                  <c:v>-1E-54</c:v>
                </c:pt>
                <c:pt idx="3">
                  <c:v>-1E-54</c:v>
                </c:pt>
                <c:pt idx="4">
                  <c:v>-1E-54</c:v>
                </c:pt>
                <c:pt idx="5">
                  <c:v>-1E-54</c:v>
                </c:pt>
                <c:pt idx="6">
                  <c:v>-1E-54</c:v>
                </c:pt>
                <c:pt idx="7">
                  <c:v>-1E-54</c:v>
                </c:pt>
                <c:pt idx="8">
                  <c:v>-1.2000000000000001E-54</c:v>
                </c:pt>
                <c:pt idx="9">
                  <c:v>-1E-54</c:v>
                </c:pt>
                <c:pt idx="10">
                  <c:v>-1E-54</c:v>
                </c:pt>
                <c:pt idx="11">
                  <c:v>-1.2000000000000001E-54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57-1541-A70F-470F661F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9"/>
        <c:overlap val="100"/>
        <c:axId val="65207296"/>
        <c:axId val="65303296"/>
      </c:barChart>
      <c:lineChart>
        <c:grouping val="standard"/>
        <c:varyColors val="0"/>
        <c:ser>
          <c:idx val="4"/>
          <c:order val="2"/>
          <c:tx>
            <c:v> original target</c:v>
          </c:tx>
          <c:spPr>
            <a:ln w="28575">
              <a:noFill/>
            </a:ln>
          </c:spPr>
          <c:marker>
            <c:symbol val="diamond"/>
            <c:size val="14"/>
            <c:spPr>
              <a:solidFill>
                <a:srgbClr val="FF1111"/>
              </a:solidFill>
              <a:ln w="47625">
                <a:solidFill>
                  <a:srgbClr val="FFFF00"/>
                </a:solidFill>
              </a:ln>
            </c:spPr>
          </c:marker>
          <c:val>
            <c:numRef>
              <c:f>'MY STATS'!$L$32:$L$43</c:f>
              <c:numCache>
                <c:formatCode>#,##0</c:formatCode>
                <c:ptCount val="12"/>
                <c:pt idx="0">
                  <c:v>34759.192089436503</c:v>
                </c:pt>
                <c:pt idx="1">
                  <c:v>32516.663567537376</c:v>
                </c:pt>
                <c:pt idx="2">
                  <c:v>34759.192089436503</c:v>
                </c:pt>
                <c:pt idx="3">
                  <c:v>33637.927828486943</c:v>
                </c:pt>
                <c:pt idx="4">
                  <c:v>34759.192089436503</c:v>
                </c:pt>
                <c:pt idx="5">
                  <c:v>33637.927828486943</c:v>
                </c:pt>
                <c:pt idx="6">
                  <c:v>34759.192089436503</c:v>
                </c:pt>
                <c:pt idx="7">
                  <c:v>34759.192089436503</c:v>
                </c:pt>
                <c:pt idx="8">
                  <c:v>33637.927828486943</c:v>
                </c:pt>
                <c:pt idx="9">
                  <c:v>34759.192089436503</c:v>
                </c:pt>
                <c:pt idx="10">
                  <c:v>33637.927828486943</c:v>
                </c:pt>
                <c:pt idx="11">
                  <c:v>34759.192089436503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57-1541-A70F-470F661F9449}"/>
            </c:ext>
          </c:extLst>
        </c:ser>
        <c:ser>
          <c:idx val="5"/>
          <c:order val="4"/>
          <c:tx>
            <c:v>label</c:v>
          </c:tx>
          <c:spPr>
            <a:ln w="28575">
              <a:noFill/>
            </a:ln>
          </c:spPr>
          <c:marker>
            <c:spPr>
              <a:noFill/>
              <a:ln>
                <a:noFill/>
              </a:ln>
            </c:spPr>
          </c:marker>
          <c:dLbls>
            <c:dLbl>
              <c:idx val="0"/>
              <c:layout>
                <c:manualLayout>
                  <c:x val="1.1681988673070201E-2"/>
                  <c:y val="2.205014237099801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57-1541-A70F-470F661F9449}"/>
                </c:ext>
              </c:extLst>
            </c:dLbl>
            <c:dLbl>
              <c:idx val="1"/>
              <c:layout>
                <c:manualLayout>
                  <c:x val="1.038398993161801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57-1541-A70F-470F661F9449}"/>
                </c:ext>
              </c:extLst>
            </c:dLbl>
            <c:dLbl>
              <c:idx val="2"/>
              <c:layout>
                <c:manualLayout>
                  <c:x val="1.168198867307020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57-1541-A70F-470F661F9449}"/>
                </c:ext>
              </c:extLst>
            </c:dLbl>
            <c:dLbl>
              <c:idx val="3"/>
              <c:layout>
                <c:manualLayout>
                  <c:x val="7.7879924487134853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57-1541-A70F-470F661F9449}"/>
                </c:ext>
              </c:extLst>
            </c:dLbl>
            <c:dLbl>
              <c:idx val="4"/>
              <c:layout>
                <c:manualLayout>
                  <c:x val="9.0859911901657528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57-1541-A70F-470F661F9449}"/>
                </c:ext>
              </c:extLst>
            </c:dLbl>
            <c:dLbl>
              <c:idx val="5"/>
              <c:layout>
                <c:manualLayout>
                  <c:x val="6.4899937072613141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57-1541-A70F-470F661F9449}"/>
                </c:ext>
              </c:extLst>
            </c:dLbl>
            <c:dLbl>
              <c:idx val="6"/>
              <c:layout>
                <c:manualLayout>
                  <c:x val="1.1681988673070201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57-1541-A70F-470F661F9449}"/>
                </c:ext>
              </c:extLst>
            </c:dLbl>
            <c:dLbl>
              <c:idx val="7"/>
              <c:layout>
                <c:manualLayout>
                  <c:x val="1.038398993161801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57-1541-A70F-470F661F9449}"/>
                </c:ext>
              </c:extLst>
            </c:dLbl>
            <c:dLbl>
              <c:idx val="8"/>
              <c:layout>
                <c:manualLayout>
                  <c:x val="1.0383887726992705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57-1541-A70F-470F661F9449}"/>
                </c:ext>
              </c:extLst>
            </c:dLbl>
            <c:dLbl>
              <c:idx val="9"/>
              <c:layout>
                <c:manualLayout>
                  <c:x val="1.427788395134949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57-1541-A70F-470F661F9449}"/>
                </c:ext>
              </c:extLst>
            </c:dLbl>
            <c:dLbl>
              <c:idx val="10"/>
              <c:layout>
                <c:manualLayout>
                  <c:x val="1.0383989931618013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57-1541-A70F-470F661F9449}"/>
                </c:ext>
              </c:extLst>
            </c:dLbl>
            <c:dLbl>
              <c:idx val="11"/>
              <c:layout>
                <c:manualLayout>
                  <c:x val="9.0859911901657268E-3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57-1541-A70F-470F661F9449}"/>
                </c:ext>
              </c:extLst>
            </c:dLbl>
            <c:spPr>
              <a:gradFill>
                <a:gsLst>
                  <a:gs pos="100000">
                    <a:srgbClr val="5E9EFF">
                      <a:alpha val="0"/>
                    </a:srgbClr>
                  </a:gs>
                  <a:gs pos="39999">
                    <a:srgbClr val="85C2FF"/>
                  </a:gs>
                  <a:gs pos="70000">
                    <a:srgbClr val="C4D6EB"/>
                  </a:gs>
                  <a:gs pos="100000">
                    <a:srgbClr val="FFEBFA"/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600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'MY STATS'!$AA$32:$AA$43</c:f>
              <c:numCache>
                <c:formatCode>#,##0</c:formatCode>
                <c:ptCount val="12"/>
                <c:pt idx="0">
                  <c:v>-1E-54</c:v>
                </c:pt>
                <c:pt idx="1">
                  <c:v>-1E-54</c:v>
                </c:pt>
                <c:pt idx="2">
                  <c:v>-1E-54</c:v>
                </c:pt>
                <c:pt idx="3">
                  <c:v>-1E-54</c:v>
                </c:pt>
                <c:pt idx="4">
                  <c:v>-1E-54</c:v>
                </c:pt>
                <c:pt idx="5">
                  <c:v>-1E-54</c:v>
                </c:pt>
                <c:pt idx="6">
                  <c:v>-1E-54</c:v>
                </c:pt>
                <c:pt idx="7">
                  <c:v>-1E-54</c:v>
                </c:pt>
                <c:pt idx="8">
                  <c:v>-1.2000000000000001E-54</c:v>
                </c:pt>
                <c:pt idx="9">
                  <c:v>-1E-54</c:v>
                </c:pt>
                <c:pt idx="10">
                  <c:v>-1E-54</c:v>
                </c:pt>
                <c:pt idx="11">
                  <c:v>-1.2000000000000001E-54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157-1541-A70F-470F661F9449}"/>
            </c:ext>
          </c:extLst>
        </c:ser>
        <c:ser>
          <c:idx val="6"/>
          <c:order val="5"/>
          <c:tx>
            <c:v> new target</c:v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FF33"/>
              </a:solidFill>
              <a:ln w="57150">
                <a:solidFill>
                  <a:srgbClr val="080000"/>
                </a:solidFill>
              </a:ln>
            </c:spPr>
          </c:marker>
          <c:dLbls>
            <c:dLbl>
              <c:idx val="11"/>
              <c:layout>
                <c:manualLayout>
                  <c:x val="3.1338093241474983E-4"/>
                  <c:y val="-0.11365565585666179"/>
                </c:manualLayout>
              </c:layout>
              <c:spPr>
                <a:solidFill>
                  <a:srgbClr val="A9EE64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chemeClr val="accent3">
                          <a:lumMod val="50000"/>
                        </a:schemeClr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157-1541-A70F-470F661F9449}"/>
                </c:ext>
              </c:extLst>
            </c:dLbl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'MY STATS'!$AB$32:$AB$43</c:f>
              <c:numCache>
                <c:formatCode>0</c:formatCod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157-1541-A70F-470F661F9449}"/>
            </c:ext>
          </c:extLst>
        </c:ser>
        <c:ser>
          <c:idx val="3"/>
          <c:order val="6"/>
          <c:tx>
            <c:v>new target 'swim line'</c:v>
          </c:tx>
          <c:spPr>
            <a:ln w="28575">
              <a:noFill/>
            </a:ln>
          </c:spPr>
          <c:marker>
            <c:symbol val="dash"/>
            <c:size val="20"/>
            <c:spPr>
              <a:solidFill>
                <a:schemeClr val="tx1"/>
              </a:solidFill>
              <a:ln w="3175">
                <a:solidFill>
                  <a:schemeClr val="tx1"/>
                </a:solidFill>
              </a:ln>
            </c:spPr>
          </c:marker>
          <c:dPt>
            <c:idx val="7"/>
            <c:marker>
              <c:symbol val="dash"/>
              <c:size val="26"/>
              <c:spPr>
                <a:solidFill>
                  <a:schemeClr val="tx2"/>
                </a:solidFill>
                <a:ln w="3175">
                  <a:solidFill>
                    <a:schemeClr val="bg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1157-1541-A70F-470F661F9449}"/>
              </c:ext>
            </c:extLst>
          </c:dPt>
          <c:val>
            <c:numRef>
              <c:f>'MY STATS'!$Z$32:$Z$43</c:f>
              <c:numCache>
                <c:formatCode>General</c:formatCode>
                <c:ptCount val="12"/>
                <c:pt idx="0">
                  <c:v>-347.59192089436505</c:v>
                </c:pt>
                <c:pt idx="1">
                  <c:v>-325.16663567537375</c:v>
                </c:pt>
                <c:pt idx="2">
                  <c:v>-347.59192089436505</c:v>
                </c:pt>
                <c:pt idx="3">
                  <c:v>-336.37927828486943</c:v>
                </c:pt>
                <c:pt idx="4">
                  <c:v>-347.59192089436505</c:v>
                </c:pt>
                <c:pt idx="5">
                  <c:v>-336.37927828486943</c:v>
                </c:pt>
                <c:pt idx="6">
                  <c:v>-347.59192089436505</c:v>
                </c:pt>
                <c:pt idx="7">
                  <c:v>-347.59192089436505</c:v>
                </c:pt>
                <c:pt idx="8">
                  <c:v>-336.37927828486943</c:v>
                </c:pt>
                <c:pt idx="9">
                  <c:v>-347.59192089436505</c:v>
                </c:pt>
                <c:pt idx="10">
                  <c:v>-336.37927828486943</c:v>
                </c:pt>
                <c:pt idx="11">
                  <c:v>-347.59192089436505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1157-1541-A70F-470F661F9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7296"/>
        <c:axId val="65303296"/>
      </c:lineChart>
      <c:catAx>
        <c:axId val="6520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solidFill>
            <a:srgbClr val="0043C8"/>
          </a:solidFill>
        </c:spPr>
        <c:txPr>
          <a:bodyPr/>
          <a:lstStyle/>
          <a:p>
            <a:pPr>
              <a:defRPr sz="2200" b="1" baseline="0">
                <a:solidFill>
                  <a:srgbClr val="FFFF00"/>
                </a:solidFill>
              </a:defRPr>
            </a:pPr>
            <a:endParaRPr lang="en-US"/>
          </a:p>
        </c:txPr>
        <c:crossAx val="65303296"/>
        <c:crosses val="autoZero"/>
        <c:auto val="1"/>
        <c:lblAlgn val="ctr"/>
        <c:lblOffset val="100"/>
        <c:noMultiLvlLbl val="0"/>
      </c:catAx>
      <c:valAx>
        <c:axId val="6530329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rgbClr val="0043C8"/>
                </a:solidFill>
              </a:defRPr>
            </a:pPr>
            <a:endParaRPr lang="en-US"/>
          </a:p>
        </c:txPr>
        <c:crossAx val="65207296"/>
        <c:crosses val="autoZero"/>
        <c:crossBetween val="between"/>
      </c:valAx>
      <c:spPr>
        <a:blipFill dpi="0" rotWithShape="1">
          <a:blip xmlns:r="http://schemas.openxmlformats.org/officeDocument/2006/relationships" r:embed="rId1">
            <a:alphaModFix amt="0"/>
          </a:blip>
          <a:srcRect/>
          <a:tile tx="0" ty="0" sx="100000" sy="100000" flip="none" algn="tl"/>
        </a:blipFill>
        <a:ln w="25400">
          <a:solidFill>
            <a:srgbClr val="002060"/>
          </a:solidFill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6.3232811173733292E-2"/>
          <c:y val="0.92603303663129266"/>
          <c:w val="0.85401337076596007"/>
          <c:h val="5.9788802398369145E-2"/>
        </c:manualLayout>
      </c:layout>
      <c:overlay val="0"/>
      <c:spPr>
        <a:ln w="3175">
          <a:solidFill>
            <a:srgbClr val="002060"/>
          </a:solidFill>
        </a:ln>
      </c:spPr>
      <c:txPr>
        <a:bodyPr/>
        <a:lstStyle/>
        <a:p>
          <a:pPr>
            <a:defRPr sz="1600" b="1"/>
          </a:pPr>
          <a:endParaRPr lang="en-US"/>
        </a:p>
      </c:txPr>
    </c:legend>
    <c:plotVisOnly val="1"/>
    <c:dispBlanksAs val="gap"/>
    <c:showDLblsOverMax val="0"/>
  </c:chart>
  <c:spPr>
    <a:blipFill dpi="0" rotWithShape="1">
      <a:blip xmlns:r="http://schemas.openxmlformats.org/officeDocument/2006/relationships" r:embed="rId1">
        <a:alphaModFix amt="0"/>
      </a:blip>
      <a:srcRect/>
      <a:tile tx="0" ty="0" sx="100000" sy="100000" flip="none" algn="tl"/>
    </a:blipFill>
    <a:ln w="25400">
      <a:noFill/>
    </a:ln>
  </c:spPr>
  <c:printSettings>
    <c:headerFooter/>
    <c:pageMargins b="0.75000000000000766" l="0.70000000000000362" r="0.70000000000000362" t="0.75000000000000766" header="0.30000000000000032" footer="0.30000000000000032"/>
    <c:pageSetup/>
  </c:printSettings>
  <c:userShapes r:id="rId2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DEC!$O$53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DEC!$P$53:$V$53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3F-6447-B9D1-FA3C6A38E1C0}"/>
            </c:ext>
          </c:extLst>
        </c:ser>
        <c:ser>
          <c:idx val="1"/>
          <c:order val="1"/>
          <c:tx>
            <c:strRef>
              <c:f>DEC!$O$54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3F-6447-B9D1-FA3C6A38E1C0}"/>
            </c:ext>
          </c:extLst>
        </c:ser>
        <c:ser>
          <c:idx val="2"/>
          <c:order val="2"/>
          <c:tx>
            <c:strRef>
              <c:f>DEC!$O$55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3F-6447-B9D1-FA3C6A38E1C0}"/>
            </c:ext>
          </c:extLst>
        </c:ser>
        <c:ser>
          <c:idx val="4"/>
          <c:order val="3"/>
          <c:tx>
            <c:strRef>
              <c:f>DEC!$O$56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FB3F-6447-B9D1-FA3C6A38E1C0}"/>
            </c:ext>
          </c:extLst>
        </c:ser>
        <c:ser>
          <c:idx val="6"/>
          <c:order val="4"/>
          <c:tx>
            <c:strRef>
              <c:f>DEC!$O$59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DEC!$P$52:$V$52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DEC!$P$59:$V$59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3F-6447-B9D1-FA3C6A38E1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3620224"/>
        <c:axId val="175268608"/>
      </c:barChart>
      <c:catAx>
        <c:axId val="17362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175268608"/>
        <c:crosses val="autoZero"/>
        <c:auto val="0"/>
        <c:lblAlgn val="ctr"/>
        <c:lblOffset val="100"/>
        <c:noMultiLvlLbl val="0"/>
      </c:catAx>
      <c:valAx>
        <c:axId val="17526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173620224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056258725570686"/>
          <c:y val="0.262749364795854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JAN!$C$4:$D$43</c:f>
              <c:numCache>
                <c:formatCode>d;@</c:formatCode>
                <c:ptCount val="40"/>
                <c:pt idx="0">
                  <c:v>45291</c:v>
                </c:pt>
                <c:pt idx="1">
                  <c:v>45292</c:v>
                </c:pt>
                <c:pt idx="2">
                  <c:v>45293</c:v>
                </c:pt>
                <c:pt idx="3">
                  <c:v>45294</c:v>
                </c:pt>
                <c:pt idx="4">
                  <c:v>45295</c:v>
                </c:pt>
                <c:pt idx="5">
                  <c:v>45296</c:v>
                </c:pt>
                <c:pt idx="6">
                  <c:v>45297</c:v>
                </c:pt>
                <c:pt idx="7">
                  <c:v>45298</c:v>
                </c:pt>
                <c:pt idx="10">
                  <c:v>45299</c:v>
                </c:pt>
                <c:pt idx="11">
                  <c:v>45300</c:v>
                </c:pt>
                <c:pt idx="12">
                  <c:v>45301</c:v>
                </c:pt>
                <c:pt idx="13">
                  <c:v>45302</c:v>
                </c:pt>
                <c:pt idx="14">
                  <c:v>45303</c:v>
                </c:pt>
                <c:pt idx="15">
                  <c:v>45304</c:v>
                </c:pt>
                <c:pt idx="16">
                  <c:v>45305</c:v>
                </c:pt>
                <c:pt idx="19">
                  <c:v>45306</c:v>
                </c:pt>
                <c:pt idx="20">
                  <c:v>45307</c:v>
                </c:pt>
                <c:pt idx="21">
                  <c:v>45308</c:v>
                </c:pt>
                <c:pt idx="22">
                  <c:v>45309</c:v>
                </c:pt>
                <c:pt idx="23">
                  <c:v>45310</c:v>
                </c:pt>
                <c:pt idx="24">
                  <c:v>45311</c:v>
                </c:pt>
                <c:pt idx="25">
                  <c:v>45312</c:v>
                </c:pt>
                <c:pt idx="28">
                  <c:v>45313</c:v>
                </c:pt>
                <c:pt idx="29">
                  <c:v>45314</c:v>
                </c:pt>
                <c:pt idx="30">
                  <c:v>45315</c:v>
                </c:pt>
                <c:pt idx="31">
                  <c:v>45316</c:v>
                </c:pt>
                <c:pt idx="32">
                  <c:v>45317</c:v>
                </c:pt>
                <c:pt idx="33">
                  <c:v>45318</c:v>
                </c:pt>
                <c:pt idx="34">
                  <c:v>45319</c:v>
                </c:pt>
                <c:pt idx="37">
                  <c:v>45320</c:v>
                </c:pt>
                <c:pt idx="38">
                  <c:v>45321</c:v>
                </c:pt>
                <c:pt idx="39">
                  <c:v>45322</c:v>
                </c:pt>
              </c:numCache>
            </c:numRef>
          </c:cat>
          <c:val>
            <c:numRef>
              <c:f>JAN!$Q$4:$Q$43</c:f>
              <c:numCache>
                <c:formatCode>General</c:formatCode>
                <c:ptCount val="40"/>
                <c:pt idx="0">
                  <c:v>34759.549826646951</c:v>
                </c:pt>
                <c:pt idx="1">
                  <c:v>34759.549826646951</c:v>
                </c:pt>
                <c:pt idx="2">
                  <c:v>34759.549826646951</c:v>
                </c:pt>
                <c:pt idx="3">
                  <c:v>34759.549826646951</c:v>
                </c:pt>
                <c:pt idx="4">
                  <c:v>34759.549826646951</c:v>
                </c:pt>
                <c:pt idx="5">
                  <c:v>34759.549826646951</c:v>
                </c:pt>
                <c:pt idx="6">
                  <c:v>34759.549826646951</c:v>
                </c:pt>
                <c:pt idx="7">
                  <c:v>34759.549826646951</c:v>
                </c:pt>
                <c:pt idx="8">
                  <c:v>0</c:v>
                </c:pt>
                <c:pt idx="9">
                  <c:v>0</c:v>
                </c:pt>
                <c:pt idx="10">
                  <c:v>34759.549826646951</c:v>
                </c:pt>
                <c:pt idx="11">
                  <c:v>34759.549826646951</c:v>
                </c:pt>
                <c:pt idx="12">
                  <c:v>34759.549826646951</c:v>
                </c:pt>
                <c:pt idx="13">
                  <c:v>34759.549826646951</c:v>
                </c:pt>
                <c:pt idx="14">
                  <c:v>34759.549826646951</c:v>
                </c:pt>
                <c:pt idx="15">
                  <c:v>34759.549826646951</c:v>
                </c:pt>
                <c:pt idx="16">
                  <c:v>34759.549826646951</c:v>
                </c:pt>
                <c:pt idx="17">
                  <c:v>0</c:v>
                </c:pt>
                <c:pt idx="18">
                  <c:v>0</c:v>
                </c:pt>
                <c:pt idx="19">
                  <c:v>34759.549826646951</c:v>
                </c:pt>
                <c:pt idx="20">
                  <c:v>34759.549826646951</c:v>
                </c:pt>
                <c:pt idx="21">
                  <c:v>34759.549826646951</c:v>
                </c:pt>
                <c:pt idx="22">
                  <c:v>34759.549826646951</c:v>
                </c:pt>
                <c:pt idx="23">
                  <c:v>34759.549826646951</c:v>
                </c:pt>
                <c:pt idx="24">
                  <c:v>34759.549826646951</c:v>
                </c:pt>
                <c:pt idx="25">
                  <c:v>34759.549826646951</c:v>
                </c:pt>
                <c:pt idx="26">
                  <c:v>0</c:v>
                </c:pt>
                <c:pt idx="27">
                  <c:v>0</c:v>
                </c:pt>
                <c:pt idx="28">
                  <c:v>34759.549826646951</c:v>
                </c:pt>
                <c:pt idx="29">
                  <c:v>34759.549826646951</c:v>
                </c:pt>
                <c:pt idx="30">
                  <c:v>34759.549826646951</c:v>
                </c:pt>
                <c:pt idx="31">
                  <c:v>34759.549826646951</c:v>
                </c:pt>
                <c:pt idx="32">
                  <c:v>34759.549826646951</c:v>
                </c:pt>
                <c:pt idx="33">
                  <c:v>34759.549826646951</c:v>
                </c:pt>
                <c:pt idx="34">
                  <c:v>34759.549826646951</c:v>
                </c:pt>
                <c:pt idx="35">
                  <c:v>0</c:v>
                </c:pt>
                <c:pt idx="36">
                  <c:v>0</c:v>
                </c:pt>
                <c:pt idx="37">
                  <c:v>34759.549826646951</c:v>
                </c:pt>
                <c:pt idx="38">
                  <c:v>34759.549826646951</c:v>
                </c:pt>
                <c:pt idx="39">
                  <c:v>34759.549826646951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E3-2148-9798-4677D1933788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JAN!$C$4:$D$43</c:f>
              <c:numCache>
                <c:formatCode>d;@</c:formatCode>
                <c:ptCount val="40"/>
                <c:pt idx="0">
                  <c:v>45291</c:v>
                </c:pt>
                <c:pt idx="1">
                  <c:v>45292</c:v>
                </c:pt>
                <c:pt idx="2">
                  <c:v>45293</c:v>
                </c:pt>
                <c:pt idx="3">
                  <c:v>45294</c:v>
                </c:pt>
                <c:pt idx="4">
                  <c:v>45295</c:v>
                </c:pt>
                <c:pt idx="5">
                  <c:v>45296</c:v>
                </c:pt>
                <c:pt idx="6">
                  <c:v>45297</c:v>
                </c:pt>
                <c:pt idx="7">
                  <c:v>45298</c:v>
                </c:pt>
                <c:pt idx="10">
                  <c:v>45299</c:v>
                </c:pt>
                <c:pt idx="11">
                  <c:v>45300</c:v>
                </c:pt>
                <c:pt idx="12">
                  <c:v>45301</c:v>
                </c:pt>
                <c:pt idx="13">
                  <c:v>45302</c:v>
                </c:pt>
                <c:pt idx="14">
                  <c:v>45303</c:v>
                </c:pt>
                <c:pt idx="15">
                  <c:v>45304</c:v>
                </c:pt>
                <c:pt idx="16">
                  <c:v>45305</c:v>
                </c:pt>
                <c:pt idx="19">
                  <c:v>45306</c:v>
                </c:pt>
                <c:pt idx="20">
                  <c:v>45307</c:v>
                </c:pt>
                <c:pt idx="21">
                  <c:v>45308</c:v>
                </c:pt>
                <c:pt idx="22">
                  <c:v>45309</c:v>
                </c:pt>
                <c:pt idx="23">
                  <c:v>45310</c:v>
                </c:pt>
                <c:pt idx="24">
                  <c:v>45311</c:v>
                </c:pt>
                <c:pt idx="25">
                  <c:v>45312</c:v>
                </c:pt>
                <c:pt idx="28">
                  <c:v>45313</c:v>
                </c:pt>
                <c:pt idx="29">
                  <c:v>45314</c:v>
                </c:pt>
                <c:pt idx="30">
                  <c:v>45315</c:v>
                </c:pt>
                <c:pt idx="31">
                  <c:v>45316</c:v>
                </c:pt>
                <c:pt idx="32">
                  <c:v>45317</c:v>
                </c:pt>
                <c:pt idx="33">
                  <c:v>45318</c:v>
                </c:pt>
                <c:pt idx="34">
                  <c:v>45319</c:v>
                </c:pt>
                <c:pt idx="37">
                  <c:v>45320</c:v>
                </c:pt>
                <c:pt idx="38">
                  <c:v>45321</c:v>
                </c:pt>
                <c:pt idx="39">
                  <c:v>45322</c:v>
                </c:pt>
              </c:numCache>
            </c:numRef>
          </c:cat>
          <c:val>
            <c:numRef>
              <c:f>JAN!$AB$4:$AB$43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E3-2148-9798-4677D19337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729088"/>
        <c:axId val="64730624"/>
      </c:lineChart>
      <c:dateAx>
        <c:axId val="64729088"/>
        <c:scaling>
          <c:orientation val="minMax"/>
          <c:max val="45322"/>
          <c:min val="45291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30624"/>
        <c:crosses val="autoZero"/>
        <c:auto val="1"/>
        <c:lblOffset val="100"/>
        <c:baseTimeUnit val="days"/>
      </c:dateAx>
      <c:valAx>
        <c:axId val="6473062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472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JAN!$C$4:$D$43</c:f>
              <c:numCache>
                <c:formatCode>d;@</c:formatCode>
                <c:ptCount val="40"/>
                <c:pt idx="0">
                  <c:v>45291</c:v>
                </c:pt>
                <c:pt idx="1">
                  <c:v>45292</c:v>
                </c:pt>
                <c:pt idx="2">
                  <c:v>45293</c:v>
                </c:pt>
                <c:pt idx="3">
                  <c:v>45294</c:v>
                </c:pt>
                <c:pt idx="4">
                  <c:v>45295</c:v>
                </c:pt>
                <c:pt idx="5">
                  <c:v>45296</c:v>
                </c:pt>
                <c:pt idx="6">
                  <c:v>45297</c:v>
                </c:pt>
                <c:pt idx="7">
                  <c:v>45298</c:v>
                </c:pt>
                <c:pt idx="10">
                  <c:v>45299</c:v>
                </c:pt>
                <c:pt idx="11">
                  <c:v>45300</c:v>
                </c:pt>
                <c:pt idx="12">
                  <c:v>45301</c:v>
                </c:pt>
                <c:pt idx="13">
                  <c:v>45302</c:v>
                </c:pt>
                <c:pt idx="14">
                  <c:v>45303</c:v>
                </c:pt>
                <c:pt idx="15">
                  <c:v>45304</c:v>
                </c:pt>
                <c:pt idx="16">
                  <c:v>45305</c:v>
                </c:pt>
                <c:pt idx="19">
                  <c:v>45306</c:v>
                </c:pt>
                <c:pt idx="20">
                  <c:v>45307</c:v>
                </c:pt>
                <c:pt idx="21">
                  <c:v>45308</c:v>
                </c:pt>
                <c:pt idx="22">
                  <c:v>45309</c:v>
                </c:pt>
                <c:pt idx="23">
                  <c:v>45310</c:v>
                </c:pt>
                <c:pt idx="24">
                  <c:v>45311</c:v>
                </c:pt>
                <c:pt idx="25">
                  <c:v>45312</c:v>
                </c:pt>
                <c:pt idx="28">
                  <c:v>45313</c:v>
                </c:pt>
                <c:pt idx="29">
                  <c:v>45314</c:v>
                </c:pt>
                <c:pt idx="30">
                  <c:v>45315</c:v>
                </c:pt>
                <c:pt idx="31">
                  <c:v>45316</c:v>
                </c:pt>
                <c:pt idx="32">
                  <c:v>45317</c:v>
                </c:pt>
                <c:pt idx="33">
                  <c:v>45318</c:v>
                </c:pt>
                <c:pt idx="34">
                  <c:v>45319</c:v>
                </c:pt>
                <c:pt idx="37">
                  <c:v>45320</c:v>
                </c:pt>
                <c:pt idx="38">
                  <c:v>45321</c:v>
                </c:pt>
                <c:pt idx="39">
                  <c:v>45322</c:v>
                </c:pt>
              </c:numCache>
            </c:numRef>
          </c:cat>
          <c:val>
            <c:numRef>
              <c:f>JAN!$R$4:$R$43</c:f>
              <c:numCache>
                <c:formatCode>General</c:formatCode>
                <c:ptCount val="4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90-D24D-A8DD-B1D7D4F915FC}"/>
            </c:ext>
          </c:extLst>
        </c:ser>
        <c:ser>
          <c:idx val="1"/>
          <c:order val="1"/>
          <c:invertIfNegative val="0"/>
          <c:cat>
            <c:numRef>
              <c:f>JAN!$C$4:$D$43</c:f>
              <c:numCache>
                <c:formatCode>d;@</c:formatCode>
                <c:ptCount val="40"/>
                <c:pt idx="0">
                  <c:v>45291</c:v>
                </c:pt>
                <c:pt idx="1">
                  <c:v>45292</c:v>
                </c:pt>
                <c:pt idx="2">
                  <c:v>45293</c:v>
                </c:pt>
                <c:pt idx="3">
                  <c:v>45294</c:v>
                </c:pt>
                <c:pt idx="4">
                  <c:v>45295</c:v>
                </c:pt>
                <c:pt idx="5">
                  <c:v>45296</c:v>
                </c:pt>
                <c:pt idx="6">
                  <c:v>45297</c:v>
                </c:pt>
                <c:pt idx="7">
                  <c:v>45298</c:v>
                </c:pt>
                <c:pt idx="10">
                  <c:v>45299</c:v>
                </c:pt>
                <c:pt idx="11">
                  <c:v>45300</c:v>
                </c:pt>
                <c:pt idx="12">
                  <c:v>45301</c:v>
                </c:pt>
                <c:pt idx="13">
                  <c:v>45302</c:v>
                </c:pt>
                <c:pt idx="14">
                  <c:v>45303</c:v>
                </c:pt>
                <c:pt idx="15">
                  <c:v>45304</c:v>
                </c:pt>
                <c:pt idx="16">
                  <c:v>45305</c:v>
                </c:pt>
                <c:pt idx="19">
                  <c:v>45306</c:v>
                </c:pt>
                <c:pt idx="20">
                  <c:v>45307</c:v>
                </c:pt>
                <c:pt idx="21">
                  <c:v>45308</c:v>
                </c:pt>
                <c:pt idx="22">
                  <c:v>45309</c:v>
                </c:pt>
                <c:pt idx="23">
                  <c:v>45310</c:v>
                </c:pt>
                <c:pt idx="24">
                  <c:v>45311</c:v>
                </c:pt>
                <c:pt idx="25">
                  <c:v>45312</c:v>
                </c:pt>
                <c:pt idx="28">
                  <c:v>45313</c:v>
                </c:pt>
                <c:pt idx="29">
                  <c:v>45314</c:v>
                </c:pt>
                <c:pt idx="30">
                  <c:v>45315</c:v>
                </c:pt>
                <c:pt idx="31">
                  <c:v>45316</c:v>
                </c:pt>
                <c:pt idx="32">
                  <c:v>45317</c:v>
                </c:pt>
                <c:pt idx="33">
                  <c:v>45318</c:v>
                </c:pt>
                <c:pt idx="34">
                  <c:v>45319</c:v>
                </c:pt>
                <c:pt idx="37">
                  <c:v>45320</c:v>
                </c:pt>
                <c:pt idx="38">
                  <c:v>45321</c:v>
                </c:pt>
                <c:pt idx="39">
                  <c:v>45322</c:v>
                </c:pt>
              </c:numCache>
            </c:numRef>
          </c:cat>
          <c:val>
            <c:numRef>
              <c:f>JAN!$T$5:$T$43</c:f>
              <c:numCache>
                <c:formatCode>General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1-2090-D24D-A8DD-B1D7D4F9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1488"/>
        <c:axId val="64753024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JAN!$C$11:$D$51</c:f>
              <c:numCache>
                <c:formatCode>General</c:formatCode>
                <c:ptCount val="41"/>
                <c:pt idx="0" formatCode="d;@">
                  <c:v>45298</c:v>
                </c:pt>
                <c:pt idx="3" formatCode="d;@">
                  <c:v>45299</c:v>
                </c:pt>
                <c:pt idx="4" formatCode="d;@">
                  <c:v>45300</c:v>
                </c:pt>
                <c:pt idx="5" formatCode="d;@">
                  <c:v>45301</c:v>
                </c:pt>
                <c:pt idx="6" formatCode="d;@">
                  <c:v>45302</c:v>
                </c:pt>
                <c:pt idx="7" formatCode="d;@">
                  <c:v>45303</c:v>
                </c:pt>
                <c:pt idx="8" formatCode="d;@">
                  <c:v>45304</c:v>
                </c:pt>
                <c:pt idx="9" formatCode="d;@">
                  <c:v>45305</c:v>
                </c:pt>
                <c:pt idx="12" formatCode="d;@">
                  <c:v>45306</c:v>
                </c:pt>
                <c:pt idx="13" formatCode="d;@">
                  <c:v>45307</c:v>
                </c:pt>
                <c:pt idx="14" formatCode="d;@">
                  <c:v>45308</c:v>
                </c:pt>
                <c:pt idx="15" formatCode="d;@">
                  <c:v>45309</c:v>
                </c:pt>
                <c:pt idx="16" formatCode="d;@">
                  <c:v>45310</c:v>
                </c:pt>
                <c:pt idx="17" formatCode="d;@">
                  <c:v>45311</c:v>
                </c:pt>
                <c:pt idx="18" formatCode="d;@">
                  <c:v>45312</c:v>
                </c:pt>
                <c:pt idx="21" formatCode="d;@">
                  <c:v>45313</c:v>
                </c:pt>
                <c:pt idx="22" formatCode="d;@">
                  <c:v>45314</c:v>
                </c:pt>
                <c:pt idx="23" formatCode="d;@">
                  <c:v>45315</c:v>
                </c:pt>
                <c:pt idx="24" formatCode="d;@">
                  <c:v>45316</c:v>
                </c:pt>
                <c:pt idx="25" formatCode="d;@">
                  <c:v>45317</c:v>
                </c:pt>
                <c:pt idx="26" formatCode="d;@">
                  <c:v>45318</c:v>
                </c:pt>
                <c:pt idx="27" formatCode="d;@">
                  <c:v>45319</c:v>
                </c:pt>
                <c:pt idx="30" formatCode="d;@">
                  <c:v>45320</c:v>
                </c:pt>
                <c:pt idx="31" formatCode="d;@">
                  <c:v>45321</c:v>
                </c:pt>
                <c:pt idx="32" formatCode="d;@">
                  <c:v>45322</c:v>
                </c:pt>
                <c:pt idx="33" formatCode="d;@">
                  <c:v>45323</c:v>
                </c:pt>
                <c:pt idx="34" formatCode="d;@">
                  <c:v>45324</c:v>
                </c:pt>
                <c:pt idx="35" formatCode="d;@">
                  <c:v>45325</c:v>
                </c:pt>
                <c:pt idx="36" formatCode="d;@">
                  <c:v>45326</c:v>
                </c:pt>
                <c:pt idx="39" formatCode="d;@">
                  <c:v>45327</c:v>
                </c:pt>
                <c:pt idx="40" formatCode="d;@">
                  <c:v>45328</c:v>
                </c:pt>
              </c:numCache>
            </c:numRef>
          </c:cat>
          <c:val>
            <c:numRef>
              <c:f>JAN!$U$5:$U$43</c:f>
              <c:numCache>
                <c:formatCode>General</c:formatCode>
                <c:ptCount val="39"/>
              </c:numCache>
            </c:numRef>
          </c:val>
          <c:extLst>
            <c:ext xmlns:c16="http://schemas.microsoft.com/office/drawing/2014/chart" uri="{C3380CC4-5D6E-409C-BE32-E72D297353CC}">
              <c16:uniqueId val="{00000002-2090-D24D-A8DD-B1D7D4F915FC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JAN!$C$11:$D$51</c:f>
              <c:numCache>
                <c:formatCode>General</c:formatCode>
                <c:ptCount val="41"/>
                <c:pt idx="0" formatCode="d;@">
                  <c:v>45298</c:v>
                </c:pt>
                <c:pt idx="3" formatCode="d;@">
                  <c:v>45299</c:v>
                </c:pt>
                <c:pt idx="4" formatCode="d;@">
                  <c:v>45300</c:v>
                </c:pt>
                <c:pt idx="5" formatCode="d;@">
                  <c:v>45301</c:v>
                </c:pt>
                <c:pt idx="6" formatCode="d;@">
                  <c:v>45302</c:v>
                </c:pt>
                <c:pt idx="7" formatCode="d;@">
                  <c:v>45303</c:v>
                </c:pt>
                <c:pt idx="8" formatCode="d;@">
                  <c:v>45304</c:v>
                </c:pt>
                <c:pt idx="9" formatCode="d;@">
                  <c:v>45305</c:v>
                </c:pt>
                <c:pt idx="12" formatCode="d;@">
                  <c:v>45306</c:v>
                </c:pt>
                <c:pt idx="13" formatCode="d;@">
                  <c:v>45307</c:v>
                </c:pt>
                <c:pt idx="14" formatCode="d;@">
                  <c:v>45308</c:v>
                </c:pt>
                <c:pt idx="15" formatCode="d;@">
                  <c:v>45309</c:v>
                </c:pt>
                <c:pt idx="16" formatCode="d;@">
                  <c:v>45310</c:v>
                </c:pt>
                <c:pt idx="17" formatCode="d;@">
                  <c:v>45311</c:v>
                </c:pt>
                <c:pt idx="18" formatCode="d;@">
                  <c:v>45312</c:v>
                </c:pt>
                <c:pt idx="21" formatCode="d;@">
                  <c:v>45313</c:v>
                </c:pt>
                <c:pt idx="22" formatCode="d;@">
                  <c:v>45314</c:v>
                </c:pt>
                <c:pt idx="23" formatCode="d;@">
                  <c:v>45315</c:v>
                </c:pt>
                <c:pt idx="24" formatCode="d;@">
                  <c:v>45316</c:v>
                </c:pt>
                <c:pt idx="25" formatCode="d;@">
                  <c:v>45317</c:v>
                </c:pt>
                <c:pt idx="26" formatCode="d;@">
                  <c:v>45318</c:v>
                </c:pt>
                <c:pt idx="27" formatCode="d;@">
                  <c:v>45319</c:v>
                </c:pt>
                <c:pt idx="30" formatCode="d;@">
                  <c:v>45320</c:v>
                </c:pt>
                <c:pt idx="31" formatCode="d;@">
                  <c:v>45321</c:v>
                </c:pt>
                <c:pt idx="32" formatCode="d;@">
                  <c:v>45322</c:v>
                </c:pt>
                <c:pt idx="33" formatCode="d;@">
                  <c:v>45323</c:v>
                </c:pt>
                <c:pt idx="34" formatCode="d;@">
                  <c:v>45324</c:v>
                </c:pt>
                <c:pt idx="35" formatCode="d;@">
                  <c:v>45325</c:v>
                </c:pt>
                <c:pt idx="36" formatCode="d;@">
                  <c:v>45326</c:v>
                </c:pt>
                <c:pt idx="39" formatCode="d;@">
                  <c:v>45327</c:v>
                </c:pt>
                <c:pt idx="40" formatCode="d;@">
                  <c:v>45328</c:v>
                </c:pt>
              </c:numCache>
            </c:numRef>
          </c:cat>
          <c:val>
            <c:numRef>
              <c:f>JAN!$V$4:$V$43</c:f>
              <c:numCache>
                <c:formatCode>General</c:formatCode>
                <c:ptCount val="4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90-D24D-A8DD-B1D7D4F9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4756352"/>
        <c:axId val="64754816"/>
      </c:barChart>
      <c:dateAx>
        <c:axId val="64751488"/>
        <c:scaling>
          <c:orientation val="minMax"/>
          <c:max val="45322"/>
          <c:min val="4529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4753024"/>
        <c:crosses val="autoZero"/>
        <c:auto val="1"/>
        <c:lblOffset val="100"/>
        <c:baseTimeUnit val="days"/>
      </c:dateAx>
      <c:valAx>
        <c:axId val="64753024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4751488"/>
        <c:crosses val="autoZero"/>
        <c:crossBetween val="between"/>
      </c:valAx>
      <c:valAx>
        <c:axId val="6475481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4756352"/>
        <c:crosses val="max"/>
        <c:crossBetween val="between"/>
      </c:valAx>
      <c:dateAx>
        <c:axId val="64756352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475481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2000"/>
            </a:pPr>
            <a:r>
              <a:rPr lang="en-GB" sz="2000" b="0" i="0" u="none" strike="noStrike" baseline="0">
                <a:effectLst/>
              </a:rPr>
              <a:t>Analysis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by</a:t>
            </a:r>
            <a:r>
              <a:rPr lang="en-GB" sz="2000" b="1" i="0" u="none" strike="noStrike" baseline="0"/>
              <a:t> </a:t>
            </a:r>
            <a:r>
              <a:rPr lang="en-GB" sz="2000" b="0" i="0" u="none" strike="noStrike" baseline="0"/>
              <a:t>d</a:t>
            </a:r>
            <a:r>
              <a:rPr lang="en-GB" sz="2000" b="0" baseline="0"/>
              <a:t>ay of the week  </a:t>
            </a:r>
          </a:p>
        </c:rich>
      </c:tx>
      <c:layout>
        <c:manualLayout>
          <c:xMode val="edge"/>
          <c:yMode val="edge"/>
          <c:x val="0.21086539865888101"/>
          <c:y val="1.610044557817490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739809837858706E-2"/>
          <c:y val="0.197282609058995"/>
          <c:w val="0.86359904728665504"/>
          <c:h val="0.70829764944279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JAN!$O$53</c:f>
              <c:strCache>
                <c:ptCount val="1"/>
                <c:pt idx="0">
                  <c:v> possible</c:v>
                </c:pt>
              </c:strCache>
            </c:strRef>
          </c:tx>
          <c:spPr>
            <a:solidFill>
              <a:srgbClr val="BC8FDD"/>
            </a:solidFill>
            <a:ln>
              <a:solidFill>
                <a:srgbClr val="4F81BD"/>
              </a:solidFill>
            </a:ln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JAN!$P$53:$V$53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7-0846-85F6-837B1907C1A1}"/>
            </c:ext>
          </c:extLst>
        </c:ser>
        <c:ser>
          <c:idx val="1"/>
          <c:order val="1"/>
          <c:tx>
            <c:strRef>
              <c:f>JAN!$O$54</c:f>
              <c:strCache>
                <c:ptCount val="1"/>
                <c:pt idx="0">
                  <c:v> to date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JAN!$P$54:$V$54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7-0846-85F6-837B1907C1A1}"/>
            </c:ext>
          </c:extLst>
        </c:ser>
        <c:ser>
          <c:idx val="2"/>
          <c:order val="2"/>
          <c:tx>
            <c:strRef>
              <c:f>JAN!$O$55</c:f>
              <c:strCache>
                <c:ptCount val="1"/>
                <c:pt idx="0">
                  <c:v>actually used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JAN!$P$55:$V$55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7-0846-85F6-837B1907C1A1}"/>
            </c:ext>
          </c:extLst>
        </c:ser>
        <c:ser>
          <c:idx val="4"/>
          <c:order val="3"/>
          <c:tx>
            <c:strRef>
              <c:f>JAN!$O$56</c:f>
              <c:strCache>
                <c:ptCount val="1"/>
                <c:pt idx="0">
                  <c:v>spare</c:v>
                </c:pt>
              </c:strCache>
            </c:strRef>
          </c:tx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JAN!$P$56:$V$56</c:f>
              <c:numCache>
                <c:formatCode>General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3-1C57-0846-85F6-837B1907C1A1}"/>
            </c:ext>
          </c:extLst>
        </c:ser>
        <c:ser>
          <c:idx val="6"/>
          <c:order val="4"/>
          <c:tx>
            <c:strRef>
              <c:f>JAN!$O$59</c:f>
              <c:strCache>
                <c:ptCount val="1"/>
                <c:pt idx="0">
                  <c:v>average speed</c:v>
                </c:pt>
              </c:strCache>
            </c:strRef>
          </c:tx>
          <c:spPr>
            <a:solidFill>
              <a:srgbClr val="000090"/>
            </a:solidFill>
          </c:spPr>
          <c:invertIfNegative val="0"/>
          <c:cat>
            <c:strRef>
              <c:f>JAN!$P$52:$V$52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JAN!$P$59:$V$59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C57-0846-85F6-837B1907C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85024"/>
        <c:axId val="64950656"/>
      </c:barChart>
      <c:catAx>
        <c:axId val="647850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aseline="0"/>
            </a:pPr>
            <a:endParaRPr lang="en-US"/>
          </a:p>
        </c:txPr>
        <c:crossAx val="64950656"/>
        <c:crosses val="autoZero"/>
        <c:auto val="0"/>
        <c:lblAlgn val="ctr"/>
        <c:lblOffset val="100"/>
        <c:noMultiLvlLbl val="0"/>
      </c:catAx>
      <c:valAx>
        <c:axId val="649506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4785024"/>
        <c:crosses val="autoZero"/>
        <c:crossBetween val="between"/>
        <c:majorUnit val="1"/>
      </c:valAx>
      <c:spPr>
        <a:blipFill dpi="0" rotWithShape="1">
          <a:blip xmlns:r="http://schemas.openxmlformats.org/officeDocument/2006/relationships" r:embed="rId1"/>
          <a:srcRect/>
          <a:tile tx="0" ty="0" sx="100000" sy="100000" flip="none" algn="tl"/>
        </a:blipFill>
      </c:spPr>
    </c:plotArea>
    <c:legend>
      <c:legendPos val="r"/>
      <c:legendEntry>
        <c:idx val="0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1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2"/>
        <c:txPr>
          <a:bodyPr/>
          <a:lstStyle/>
          <a:p>
            <a:pPr algn="ctr">
              <a:defRPr lang="en-GB" sz="1400" baseline="0"/>
            </a:pPr>
            <a:endParaRPr lang="en-US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0392028202357"/>
          <c:y val="0.11480245058811608"/>
          <c:w val="0.85225740575138798"/>
          <c:h val="8.7106320123468611E-2"/>
        </c:manualLayout>
      </c:layout>
      <c:overlay val="0"/>
      <c:spPr>
        <a:ln w="19050" cmpd="sng">
          <a:solidFill>
            <a:schemeClr val="accent1"/>
          </a:solidFill>
        </a:ln>
      </c:spPr>
      <c:txPr>
        <a:bodyPr/>
        <a:lstStyle/>
        <a:p>
          <a:pPr algn="ctr">
            <a:defRPr lang="en-GB" sz="1400"/>
          </a:pPr>
          <a:endParaRPr lang="en-US"/>
        </a:p>
      </c:txPr>
    </c:legend>
    <c:plotVisOnly val="1"/>
    <c:dispBlanksAs val="gap"/>
    <c:showDLblsOverMax val="0"/>
  </c:chart>
  <c:spPr>
    <a:solidFill>
      <a:srgbClr val="FFFF99"/>
    </a:solid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lang="en-GB"/>
            </a:pPr>
            <a:r>
              <a:rPr lang="en-GB" sz="2000" baseline="0">
                <a:solidFill>
                  <a:srgbClr val="0070C0"/>
                </a:solidFill>
              </a:rPr>
              <a:t>new target</a:t>
            </a:r>
          </a:p>
          <a:p>
            <a:pPr algn="ctr">
              <a:defRPr lang="en-GB"/>
            </a:pPr>
            <a:endParaRPr lang="en-GB" sz="2000" baseline="0">
              <a:solidFill>
                <a:srgbClr val="0070C0"/>
              </a:solidFill>
            </a:endParaRPr>
          </a:p>
          <a:p>
            <a:pPr algn="ctr">
              <a:defRPr lang="en-GB"/>
            </a:pPr>
            <a:r>
              <a:rPr lang="en-GB" sz="2000" baseline="0">
                <a:solidFill>
                  <a:srgbClr val="C00000"/>
                </a:solidFill>
              </a:rPr>
              <a:t>distance  total</a:t>
            </a:r>
          </a:p>
        </c:rich>
      </c:tx>
      <c:layout>
        <c:manualLayout>
          <c:xMode val="edge"/>
          <c:yMode val="edge"/>
          <c:x val="0.12234734670377258"/>
          <c:y val="0.2472820897387826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828713972156719E-2"/>
          <c:y val="6.0914018036049122E-2"/>
          <c:w val="0.89084518190493756"/>
          <c:h val="0.86477102943490092"/>
        </c:manualLayout>
      </c:layout>
      <c:lineChart>
        <c:grouping val="standard"/>
        <c:varyColors val="0"/>
        <c:ser>
          <c:idx val="0"/>
          <c:order val="0"/>
          <c:spPr>
            <a:ln w="38100"/>
          </c:spPr>
          <c:marker>
            <c:symbol val="none"/>
          </c:marker>
          <c:cat>
            <c:numRef>
              <c:f>FEB!$C$4:$C$44</c:f>
              <c:numCache>
                <c:formatCode>d;@</c:formatCode>
                <c:ptCount val="41"/>
                <c:pt idx="0">
                  <c:v>45319</c:v>
                </c:pt>
                <c:pt idx="1">
                  <c:v>45320</c:v>
                </c:pt>
                <c:pt idx="2">
                  <c:v>45321</c:v>
                </c:pt>
                <c:pt idx="3">
                  <c:v>45322</c:v>
                </c:pt>
                <c:pt idx="4">
                  <c:v>45323</c:v>
                </c:pt>
                <c:pt idx="5">
                  <c:v>45324</c:v>
                </c:pt>
                <c:pt idx="6">
                  <c:v>45325</c:v>
                </c:pt>
                <c:pt idx="7">
                  <c:v>45326</c:v>
                </c:pt>
                <c:pt idx="10">
                  <c:v>45327</c:v>
                </c:pt>
                <c:pt idx="11">
                  <c:v>45328</c:v>
                </c:pt>
                <c:pt idx="12">
                  <c:v>45329</c:v>
                </c:pt>
                <c:pt idx="13">
                  <c:v>45330</c:v>
                </c:pt>
                <c:pt idx="14">
                  <c:v>45331</c:v>
                </c:pt>
                <c:pt idx="15">
                  <c:v>45332</c:v>
                </c:pt>
                <c:pt idx="16">
                  <c:v>45333</c:v>
                </c:pt>
                <c:pt idx="19">
                  <c:v>45334</c:v>
                </c:pt>
                <c:pt idx="20">
                  <c:v>45335</c:v>
                </c:pt>
                <c:pt idx="21">
                  <c:v>45336</c:v>
                </c:pt>
                <c:pt idx="22">
                  <c:v>45337</c:v>
                </c:pt>
                <c:pt idx="23">
                  <c:v>45338</c:v>
                </c:pt>
                <c:pt idx="24">
                  <c:v>45339</c:v>
                </c:pt>
                <c:pt idx="25">
                  <c:v>45340</c:v>
                </c:pt>
                <c:pt idx="28">
                  <c:v>45341</c:v>
                </c:pt>
                <c:pt idx="29">
                  <c:v>45342</c:v>
                </c:pt>
                <c:pt idx="30">
                  <c:v>45343</c:v>
                </c:pt>
                <c:pt idx="31">
                  <c:v>45344</c:v>
                </c:pt>
                <c:pt idx="32">
                  <c:v>45345</c:v>
                </c:pt>
                <c:pt idx="33">
                  <c:v>45346</c:v>
                </c:pt>
                <c:pt idx="34">
                  <c:v>45347</c:v>
                </c:pt>
                <c:pt idx="37">
                  <c:v>45348</c:v>
                </c:pt>
                <c:pt idx="38">
                  <c:v>45349</c:v>
                </c:pt>
                <c:pt idx="39">
                  <c:v>45350</c:v>
                </c:pt>
                <c:pt idx="40">
                  <c:v>45351</c:v>
                </c:pt>
              </c:numCache>
            </c:numRef>
          </c:cat>
          <c:val>
            <c:numRef>
              <c:f>FEB!$Q$4:$Q$44</c:f>
              <c:numCache>
                <c:formatCode>#,##0.0</c:formatCode>
                <c:ptCount val="41"/>
                <c:pt idx="0">
                  <c:v>35524.492173224367</c:v>
                </c:pt>
                <c:pt idx="1">
                  <c:v>35524.492173224367</c:v>
                </c:pt>
                <c:pt idx="2">
                  <c:v>35524.492173224367</c:v>
                </c:pt>
                <c:pt idx="3">
                  <c:v>35524.492173224367</c:v>
                </c:pt>
                <c:pt idx="4">
                  <c:v>35524.492173224367</c:v>
                </c:pt>
                <c:pt idx="5">
                  <c:v>35524.492173224367</c:v>
                </c:pt>
                <c:pt idx="6">
                  <c:v>35524.492173224367</c:v>
                </c:pt>
                <c:pt idx="7">
                  <c:v>35524.492173224367</c:v>
                </c:pt>
                <c:pt idx="8">
                  <c:v>0</c:v>
                </c:pt>
                <c:pt idx="9">
                  <c:v>0</c:v>
                </c:pt>
                <c:pt idx="10">
                  <c:v>35524.492173224367</c:v>
                </c:pt>
                <c:pt idx="11">
                  <c:v>35524.492173224367</c:v>
                </c:pt>
                <c:pt idx="12">
                  <c:v>35524.492173224367</c:v>
                </c:pt>
                <c:pt idx="13">
                  <c:v>35524.492173224367</c:v>
                </c:pt>
                <c:pt idx="14">
                  <c:v>35524.492173224367</c:v>
                </c:pt>
                <c:pt idx="15">
                  <c:v>35524.492173224367</c:v>
                </c:pt>
                <c:pt idx="16">
                  <c:v>35524.492173224367</c:v>
                </c:pt>
                <c:pt idx="17">
                  <c:v>0</c:v>
                </c:pt>
                <c:pt idx="18">
                  <c:v>0</c:v>
                </c:pt>
                <c:pt idx="19">
                  <c:v>35524.492173224367</c:v>
                </c:pt>
                <c:pt idx="20">
                  <c:v>35524.492173224367</c:v>
                </c:pt>
                <c:pt idx="21">
                  <c:v>35524.492173224367</c:v>
                </c:pt>
                <c:pt idx="22">
                  <c:v>35524.492173224367</c:v>
                </c:pt>
                <c:pt idx="23">
                  <c:v>35524.492173224367</c:v>
                </c:pt>
                <c:pt idx="24">
                  <c:v>35524.492173224367</c:v>
                </c:pt>
                <c:pt idx="25">
                  <c:v>35524.492173224367</c:v>
                </c:pt>
                <c:pt idx="26">
                  <c:v>0</c:v>
                </c:pt>
                <c:pt idx="27">
                  <c:v>0</c:v>
                </c:pt>
                <c:pt idx="28">
                  <c:v>35524.492173224367</c:v>
                </c:pt>
                <c:pt idx="29">
                  <c:v>35524.492173224367</c:v>
                </c:pt>
                <c:pt idx="30">
                  <c:v>35524.492173224367</c:v>
                </c:pt>
                <c:pt idx="31">
                  <c:v>35524.492173224367</c:v>
                </c:pt>
                <c:pt idx="32">
                  <c:v>35524.492173224367</c:v>
                </c:pt>
                <c:pt idx="33">
                  <c:v>35524.492173224367</c:v>
                </c:pt>
                <c:pt idx="34">
                  <c:v>35524.492173224367</c:v>
                </c:pt>
                <c:pt idx="35">
                  <c:v>0</c:v>
                </c:pt>
                <c:pt idx="36">
                  <c:v>0</c:v>
                </c:pt>
                <c:pt idx="37">
                  <c:v>35524.492173224367</c:v>
                </c:pt>
                <c:pt idx="38">
                  <c:v>35524.492173224367</c:v>
                </c:pt>
                <c:pt idx="39">
                  <c:v>35524.492173224367</c:v>
                </c:pt>
                <c:pt idx="40">
                  <c:v>35524.492173224367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2-2346-9A73-D4623EC33850}"/>
            </c:ext>
          </c:extLst>
        </c:ser>
        <c:ser>
          <c:idx val="1"/>
          <c:order val="1"/>
          <c:spPr>
            <a:ln w="31750"/>
          </c:spPr>
          <c:marker>
            <c:symbol val="none"/>
          </c:marker>
          <c:cat>
            <c:numRef>
              <c:f>FEB!$C$4:$C$44</c:f>
              <c:numCache>
                <c:formatCode>d;@</c:formatCode>
                <c:ptCount val="41"/>
                <c:pt idx="0">
                  <c:v>45319</c:v>
                </c:pt>
                <c:pt idx="1">
                  <c:v>45320</c:v>
                </c:pt>
                <c:pt idx="2">
                  <c:v>45321</c:v>
                </c:pt>
                <c:pt idx="3">
                  <c:v>45322</c:v>
                </c:pt>
                <c:pt idx="4">
                  <c:v>45323</c:v>
                </c:pt>
                <c:pt idx="5">
                  <c:v>45324</c:v>
                </c:pt>
                <c:pt idx="6">
                  <c:v>45325</c:v>
                </c:pt>
                <c:pt idx="7">
                  <c:v>45326</c:v>
                </c:pt>
                <c:pt idx="10">
                  <c:v>45327</c:v>
                </c:pt>
                <c:pt idx="11">
                  <c:v>45328</c:v>
                </c:pt>
                <c:pt idx="12">
                  <c:v>45329</c:v>
                </c:pt>
                <c:pt idx="13">
                  <c:v>45330</c:v>
                </c:pt>
                <c:pt idx="14">
                  <c:v>45331</c:v>
                </c:pt>
                <c:pt idx="15">
                  <c:v>45332</c:v>
                </c:pt>
                <c:pt idx="16">
                  <c:v>45333</c:v>
                </c:pt>
                <c:pt idx="19">
                  <c:v>45334</c:v>
                </c:pt>
                <c:pt idx="20">
                  <c:v>45335</c:v>
                </c:pt>
                <c:pt idx="21">
                  <c:v>45336</c:v>
                </c:pt>
                <c:pt idx="22">
                  <c:v>45337</c:v>
                </c:pt>
                <c:pt idx="23">
                  <c:v>45338</c:v>
                </c:pt>
                <c:pt idx="24">
                  <c:v>45339</c:v>
                </c:pt>
                <c:pt idx="25">
                  <c:v>45340</c:v>
                </c:pt>
                <c:pt idx="28">
                  <c:v>45341</c:v>
                </c:pt>
                <c:pt idx="29">
                  <c:v>45342</c:v>
                </c:pt>
                <c:pt idx="30">
                  <c:v>45343</c:v>
                </c:pt>
                <c:pt idx="31">
                  <c:v>45344</c:v>
                </c:pt>
                <c:pt idx="32">
                  <c:v>45345</c:v>
                </c:pt>
                <c:pt idx="33">
                  <c:v>45346</c:v>
                </c:pt>
                <c:pt idx="34">
                  <c:v>45347</c:v>
                </c:pt>
                <c:pt idx="37">
                  <c:v>45348</c:v>
                </c:pt>
                <c:pt idx="38">
                  <c:v>45349</c:v>
                </c:pt>
                <c:pt idx="39">
                  <c:v>45350</c:v>
                </c:pt>
                <c:pt idx="40">
                  <c:v>45351</c:v>
                </c:pt>
              </c:numCache>
            </c:numRef>
          </c:cat>
          <c:val>
            <c:numRef>
              <c:f>FEB!$AB$4:$AB$44</c:f>
              <c:numCache>
                <c:formatCode>#,##0.0</c:formatCode>
                <c:ptCount val="4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2-2346-9A73-D4623EC33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217088"/>
        <c:axId val="66218624"/>
      </c:lineChart>
      <c:dateAx>
        <c:axId val="66217088"/>
        <c:scaling>
          <c:orientation val="minMax"/>
          <c:max val="45351"/>
          <c:min val="45322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6218624"/>
        <c:crosses val="autoZero"/>
        <c:auto val="1"/>
        <c:lblOffset val="100"/>
        <c:baseTimeUnit val="days"/>
      </c:dateAx>
      <c:valAx>
        <c:axId val="66218624"/>
        <c:scaling>
          <c:orientation val="minMax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GB" sz="1200" b="1" i="0"/>
            </a:pPr>
            <a:endParaRPr lang="en-US"/>
          </a:p>
        </c:txPr>
        <c:crossAx val="66217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150519136271702E-2"/>
          <c:y val="0.25185385921273101"/>
          <c:w val="0.86539294071894457"/>
          <c:h val="0.64486226767452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11936"/>
            </a:solidFill>
          </c:spPr>
          <c:invertIfNegative val="0"/>
          <c:cat>
            <c:numRef>
              <c:f>FEB!$C$4:$C$44</c:f>
              <c:numCache>
                <c:formatCode>d;@</c:formatCode>
                <c:ptCount val="41"/>
                <c:pt idx="0">
                  <c:v>45319</c:v>
                </c:pt>
                <c:pt idx="1">
                  <c:v>45320</c:v>
                </c:pt>
                <c:pt idx="2">
                  <c:v>45321</c:v>
                </c:pt>
                <c:pt idx="3">
                  <c:v>45322</c:v>
                </c:pt>
                <c:pt idx="4">
                  <c:v>45323</c:v>
                </c:pt>
                <c:pt idx="5">
                  <c:v>45324</c:v>
                </c:pt>
                <c:pt idx="6">
                  <c:v>45325</c:v>
                </c:pt>
                <c:pt idx="7">
                  <c:v>45326</c:v>
                </c:pt>
                <c:pt idx="10">
                  <c:v>45327</c:v>
                </c:pt>
                <c:pt idx="11">
                  <c:v>45328</c:v>
                </c:pt>
                <c:pt idx="12">
                  <c:v>45329</c:v>
                </c:pt>
                <c:pt idx="13">
                  <c:v>45330</c:v>
                </c:pt>
                <c:pt idx="14">
                  <c:v>45331</c:v>
                </c:pt>
                <c:pt idx="15">
                  <c:v>45332</c:v>
                </c:pt>
                <c:pt idx="16">
                  <c:v>45333</c:v>
                </c:pt>
                <c:pt idx="19">
                  <c:v>45334</c:v>
                </c:pt>
                <c:pt idx="20">
                  <c:v>45335</c:v>
                </c:pt>
                <c:pt idx="21">
                  <c:v>45336</c:v>
                </c:pt>
                <c:pt idx="22">
                  <c:v>45337</c:v>
                </c:pt>
                <c:pt idx="23">
                  <c:v>45338</c:v>
                </c:pt>
                <c:pt idx="24">
                  <c:v>45339</c:v>
                </c:pt>
                <c:pt idx="25">
                  <c:v>45340</c:v>
                </c:pt>
                <c:pt idx="28">
                  <c:v>45341</c:v>
                </c:pt>
                <c:pt idx="29">
                  <c:v>45342</c:v>
                </c:pt>
                <c:pt idx="30">
                  <c:v>45343</c:v>
                </c:pt>
                <c:pt idx="31">
                  <c:v>45344</c:v>
                </c:pt>
                <c:pt idx="32">
                  <c:v>45345</c:v>
                </c:pt>
                <c:pt idx="33">
                  <c:v>45346</c:v>
                </c:pt>
                <c:pt idx="34">
                  <c:v>45347</c:v>
                </c:pt>
                <c:pt idx="37">
                  <c:v>45348</c:v>
                </c:pt>
                <c:pt idx="38">
                  <c:v>45349</c:v>
                </c:pt>
                <c:pt idx="39">
                  <c:v>45350</c:v>
                </c:pt>
                <c:pt idx="40">
                  <c:v>45351</c:v>
                </c:pt>
              </c:numCache>
            </c:numRef>
          </c:cat>
          <c:val>
            <c:numRef>
              <c:f>FEB!$R$4:$R$44</c:f>
              <c:numCache>
                <c:formatCode>#,##0.0</c:formatCode>
                <c:ptCount val="41"/>
                <c:pt idx="0" formatCode="General">
                  <c:v>0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  <c:pt idx="32" formatCode="#,##0">
                  <c:v>0</c:v>
                </c:pt>
                <c:pt idx="33" formatCode="#,##0">
                  <c:v>0</c:v>
                </c:pt>
                <c:pt idx="34" formatCode="#,##0">
                  <c:v>0</c:v>
                </c:pt>
                <c:pt idx="37" formatCode="#,##0">
                  <c:v>0</c:v>
                </c:pt>
                <c:pt idx="38" formatCode="#,##0">
                  <c:v>0</c:v>
                </c:pt>
                <c:pt idx="39" formatCode="#,##0">
                  <c:v>0</c:v>
                </c:pt>
                <c:pt idx="4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C9-6944-A720-9729D85DB9EA}"/>
            </c:ext>
          </c:extLst>
        </c:ser>
        <c:ser>
          <c:idx val="1"/>
          <c:order val="1"/>
          <c:invertIfNegative val="0"/>
          <c:cat>
            <c:numRef>
              <c:f>FEB!$C$4:$C$44</c:f>
              <c:numCache>
                <c:formatCode>d;@</c:formatCode>
                <c:ptCount val="41"/>
                <c:pt idx="0">
                  <c:v>45319</c:v>
                </c:pt>
                <c:pt idx="1">
                  <c:v>45320</c:v>
                </c:pt>
                <c:pt idx="2">
                  <c:v>45321</c:v>
                </c:pt>
                <c:pt idx="3">
                  <c:v>45322</c:v>
                </c:pt>
                <c:pt idx="4">
                  <c:v>45323</c:v>
                </c:pt>
                <c:pt idx="5">
                  <c:v>45324</c:v>
                </c:pt>
                <c:pt idx="6">
                  <c:v>45325</c:v>
                </c:pt>
                <c:pt idx="7">
                  <c:v>45326</c:v>
                </c:pt>
                <c:pt idx="10">
                  <c:v>45327</c:v>
                </c:pt>
                <c:pt idx="11">
                  <c:v>45328</c:v>
                </c:pt>
                <c:pt idx="12">
                  <c:v>45329</c:v>
                </c:pt>
                <c:pt idx="13">
                  <c:v>45330</c:v>
                </c:pt>
                <c:pt idx="14">
                  <c:v>45331</c:v>
                </c:pt>
                <c:pt idx="15">
                  <c:v>45332</c:v>
                </c:pt>
                <c:pt idx="16">
                  <c:v>45333</c:v>
                </c:pt>
                <c:pt idx="19">
                  <c:v>45334</c:v>
                </c:pt>
                <c:pt idx="20">
                  <c:v>45335</c:v>
                </c:pt>
                <c:pt idx="21">
                  <c:v>45336</c:v>
                </c:pt>
                <c:pt idx="22">
                  <c:v>45337</c:v>
                </c:pt>
                <c:pt idx="23">
                  <c:v>45338</c:v>
                </c:pt>
                <c:pt idx="24">
                  <c:v>45339</c:v>
                </c:pt>
                <c:pt idx="25">
                  <c:v>45340</c:v>
                </c:pt>
                <c:pt idx="28">
                  <c:v>45341</c:v>
                </c:pt>
                <c:pt idx="29">
                  <c:v>45342</c:v>
                </c:pt>
                <c:pt idx="30">
                  <c:v>45343</c:v>
                </c:pt>
                <c:pt idx="31">
                  <c:v>45344</c:v>
                </c:pt>
                <c:pt idx="32">
                  <c:v>45345</c:v>
                </c:pt>
                <c:pt idx="33">
                  <c:v>45346</c:v>
                </c:pt>
                <c:pt idx="34">
                  <c:v>45347</c:v>
                </c:pt>
                <c:pt idx="37">
                  <c:v>45348</c:v>
                </c:pt>
                <c:pt idx="38">
                  <c:v>45349</c:v>
                </c:pt>
                <c:pt idx="39">
                  <c:v>45350</c:v>
                </c:pt>
                <c:pt idx="40">
                  <c:v>45351</c:v>
                </c:pt>
              </c:numCache>
            </c:numRef>
          </c:cat>
          <c:val>
            <c:numRef>
              <c:f>FEB!$T$8:$T$43</c:f>
              <c:numCache>
                <c:formatCode>#,##0.0</c:formatCode>
                <c:ptCount val="36"/>
              </c:numCache>
            </c:numRef>
          </c:val>
          <c:extLst>
            <c:ext xmlns:c16="http://schemas.microsoft.com/office/drawing/2014/chart" uri="{C3380CC4-5D6E-409C-BE32-E72D297353CC}">
              <c16:uniqueId val="{00000001-D3C9-6944-A720-9729D85DB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47680"/>
        <c:axId val="66261760"/>
      </c:barChart>
      <c:barChart>
        <c:barDir val="col"/>
        <c:grouping val="clustered"/>
        <c:varyColors val="0"/>
        <c:ser>
          <c:idx val="2"/>
          <c:order val="2"/>
          <c:invertIfNegative val="0"/>
          <c:cat>
            <c:numRef>
              <c:f>FEB!$C$4:$C$44</c:f>
              <c:numCache>
                <c:formatCode>d;@</c:formatCode>
                <c:ptCount val="41"/>
                <c:pt idx="0">
                  <c:v>45319</c:v>
                </c:pt>
                <c:pt idx="1">
                  <c:v>45320</c:v>
                </c:pt>
                <c:pt idx="2">
                  <c:v>45321</c:v>
                </c:pt>
                <c:pt idx="3">
                  <c:v>45322</c:v>
                </c:pt>
                <c:pt idx="4">
                  <c:v>45323</c:v>
                </c:pt>
                <c:pt idx="5">
                  <c:v>45324</c:v>
                </c:pt>
                <c:pt idx="6">
                  <c:v>45325</c:v>
                </c:pt>
                <c:pt idx="7">
                  <c:v>45326</c:v>
                </c:pt>
                <c:pt idx="10">
                  <c:v>45327</c:v>
                </c:pt>
                <c:pt idx="11">
                  <c:v>45328</c:v>
                </c:pt>
                <c:pt idx="12">
                  <c:v>45329</c:v>
                </c:pt>
                <c:pt idx="13">
                  <c:v>45330</c:v>
                </c:pt>
                <c:pt idx="14">
                  <c:v>45331</c:v>
                </c:pt>
                <c:pt idx="15">
                  <c:v>45332</c:v>
                </c:pt>
                <c:pt idx="16">
                  <c:v>45333</c:v>
                </c:pt>
                <c:pt idx="19">
                  <c:v>45334</c:v>
                </c:pt>
                <c:pt idx="20">
                  <c:v>45335</c:v>
                </c:pt>
                <c:pt idx="21">
                  <c:v>45336</c:v>
                </c:pt>
                <c:pt idx="22">
                  <c:v>45337</c:v>
                </c:pt>
                <c:pt idx="23">
                  <c:v>45338</c:v>
                </c:pt>
                <c:pt idx="24">
                  <c:v>45339</c:v>
                </c:pt>
                <c:pt idx="25">
                  <c:v>45340</c:v>
                </c:pt>
                <c:pt idx="28">
                  <c:v>45341</c:v>
                </c:pt>
                <c:pt idx="29">
                  <c:v>45342</c:v>
                </c:pt>
                <c:pt idx="30">
                  <c:v>45343</c:v>
                </c:pt>
                <c:pt idx="31">
                  <c:v>45344</c:v>
                </c:pt>
                <c:pt idx="32">
                  <c:v>45345</c:v>
                </c:pt>
                <c:pt idx="33">
                  <c:v>45346</c:v>
                </c:pt>
                <c:pt idx="34">
                  <c:v>45347</c:v>
                </c:pt>
                <c:pt idx="37">
                  <c:v>45348</c:v>
                </c:pt>
                <c:pt idx="38">
                  <c:v>45349</c:v>
                </c:pt>
                <c:pt idx="39">
                  <c:v>45350</c:v>
                </c:pt>
                <c:pt idx="40">
                  <c:v>45351</c:v>
                </c:pt>
              </c:numCache>
            </c:numRef>
          </c:cat>
          <c:val>
            <c:numRef>
              <c:f>FEB!$U$9:$U$43</c:f>
              <c:numCache>
                <c:formatCode>#,##0.0</c:formatCode>
                <c:ptCount val="35"/>
              </c:numCache>
            </c:numRef>
          </c:val>
          <c:extLst>
            <c:ext xmlns:c16="http://schemas.microsoft.com/office/drawing/2014/chart" uri="{C3380CC4-5D6E-409C-BE32-E72D297353CC}">
              <c16:uniqueId val="{00000002-D3C9-6944-A720-9729D85DB9EA}"/>
            </c:ext>
          </c:extLst>
        </c:ser>
        <c:ser>
          <c:idx val="3"/>
          <c:order val="3"/>
          <c:spPr>
            <a:solidFill>
              <a:srgbClr val="002B82"/>
            </a:solidFill>
          </c:spPr>
          <c:invertIfNegative val="0"/>
          <c:cat>
            <c:numRef>
              <c:f>FEB!$C$4:$C$44</c:f>
              <c:numCache>
                <c:formatCode>d;@</c:formatCode>
                <c:ptCount val="41"/>
                <c:pt idx="0">
                  <c:v>45319</c:v>
                </c:pt>
                <c:pt idx="1">
                  <c:v>45320</c:v>
                </c:pt>
                <c:pt idx="2">
                  <c:v>45321</c:v>
                </c:pt>
                <c:pt idx="3">
                  <c:v>45322</c:v>
                </c:pt>
                <c:pt idx="4">
                  <c:v>45323</c:v>
                </c:pt>
                <c:pt idx="5">
                  <c:v>45324</c:v>
                </c:pt>
                <c:pt idx="6">
                  <c:v>45325</c:v>
                </c:pt>
                <c:pt idx="7">
                  <c:v>45326</c:v>
                </c:pt>
                <c:pt idx="10">
                  <c:v>45327</c:v>
                </c:pt>
                <c:pt idx="11">
                  <c:v>45328</c:v>
                </c:pt>
                <c:pt idx="12">
                  <c:v>45329</c:v>
                </c:pt>
                <c:pt idx="13">
                  <c:v>45330</c:v>
                </c:pt>
                <c:pt idx="14">
                  <c:v>45331</c:v>
                </c:pt>
                <c:pt idx="15">
                  <c:v>45332</c:v>
                </c:pt>
                <c:pt idx="16">
                  <c:v>45333</c:v>
                </c:pt>
                <c:pt idx="19">
                  <c:v>45334</c:v>
                </c:pt>
                <c:pt idx="20">
                  <c:v>45335</c:v>
                </c:pt>
                <c:pt idx="21">
                  <c:v>45336</c:v>
                </c:pt>
                <c:pt idx="22">
                  <c:v>45337</c:v>
                </c:pt>
                <c:pt idx="23">
                  <c:v>45338</c:v>
                </c:pt>
                <c:pt idx="24">
                  <c:v>45339</c:v>
                </c:pt>
                <c:pt idx="25">
                  <c:v>45340</c:v>
                </c:pt>
                <c:pt idx="28">
                  <c:v>45341</c:v>
                </c:pt>
                <c:pt idx="29">
                  <c:v>45342</c:v>
                </c:pt>
                <c:pt idx="30">
                  <c:v>45343</c:v>
                </c:pt>
                <c:pt idx="31">
                  <c:v>45344</c:v>
                </c:pt>
                <c:pt idx="32">
                  <c:v>45345</c:v>
                </c:pt>
                <c:pt idx="33">
                  <c:v>45346</c:v>
                </c:pt>
                <c:pt idx="34">
                  <c:v>45347</c:v>
                </c:pt>
                <c:pt idx="37">
                  <c:v>45348</c:v>
                </c:pt>
                <c:pt idx="38">
                  <c:v>45349</c:v>
                </c:pt>
                <c:pt idx="39">
                  <c:v>45350</c:v>
                </c:pt>
                <c:pt idx="40">
                  <c:v>45351</c:v>
                </c:pt>
              </c:numCache>
            </c:numRef>
          </c:cat>
          <c:val>
            <c:numRef>
              <c:f>FEB!$V$4:$V$44</c:f>
              <c:numCache>
                <c:formatCode>#,##0.00</c:formatCod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C9-6944-A720-9729D85DB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5"/>
        <c:overlap val="-33"/>
        <c:axId val="66269184"/>
        <c:axId val="66263296"/>
      </c:barChart>
      <c:dateAx>
        <c:axId val="66247680"/>
        <c:scaling>
          <c:orientation val="minMax"/>
          <c:max val="45351"/>
          <c:min val="45323"/>
        </c:scaling>
        <c:delete val="0"/>
        <c:axPos val="b"/>
        <c:numFmt formatCode="d;@" sourceLinked="1"/>
        <c:majorTickMark val="out"/>
        <c:minorTickMark val="none"/>
        <c:tickLblPos val="nextTo"/>
        <c:txPr>
          <a:bodyPr/>
          <a:lstStyle/>
          <a:p>
            <a:pPr>
              <a:defRPr lang="en-GB" b="1" i="0"/>
            </a:pPr>
            <a:endParaRPr lang="en-US"/>
          </a:p>
        </c:txPr>
        <c:crossAx val="66261760"/>
        <c:crosses val="autoZero"/>
        <c:auto val="1"/>
        <c:lblOffset val="100"/>
        <c:baseTimeUnit val="days"/>
      </c:dateAx>
      <c:valAx>
        <c:axId val="66261760"/>
        <c:scaling>
          <c:orientation val="minMax"/>
          <c:min val="0"/>
        </c:scaling>
        <c:delete val="0"/>
        <c:axPos val="l"/>
        <c:majorGridlines/>
        <c:numFmt formatCode="General" sourceLinked="0"/>
        <c:majorTickMark val="out"/>
        <c:minorTickMark val="in"/>
        <c:tickLblPos val="nextTo"/>
        <c:txPr>
          <a:bodyPr/>
          <a:lstStyle/>
          <a:p>
            <a:pPr>
              <a:defRPr lang="en-GB" sz="1200" b="1" baseline="0">
                <a:solidFill>
                  <a:srgbClr val="C00000"/>
                </a:solidFill>
              </a:defRPr>
            </a:pPr>
            <a:endParaRPr lang="en-US"/>
          </a:p>
        </c:txPr>
        <c:crossAx val="66247680"/>
        <c:crosses val="autoZero"/>
        <c:crossBetween val="between"/>
      </c:valAx>
      <c:valAx>
        <c:axId val="66263296"/>
        <c:scaling>
          <c:orientation val="minMax"/>
          <c:max val="6"/>
        </c:scaling>
        <c:delete val="0"/>
        <c:axPos val="r"/>
        <c:numFmt formatCode="#,##0" sourceLinked="0"/>
        <c:majorTickMark val="cross"/>
        <c:minorTickMark val="none"/>
        <c:tickLblPos val="nextTo"/>
        <c:spPr>
          <a:noFill/>
          <a:ln w="25400">
            <a:solidFill>
              <a:srgbClr val="000090"/>
            </a:solidFill>
          </a:ln>
        </c:spPr>
        <c:txPr>
          <a:bodyPr/>
          <a:lstStyle/>
          <a:p>
            <a:pPr>
              <a:defRPr sz="1200" b="1" u="none" strike="noStrike">
                <a:solidFill>
                  <a:srgbClr val="002B82"/>
                </a:solidFill>
              </a:defRPr>
            </a:pPr>
            <a:endParaRPr lang="en-US"/>
          </a:p>
        </c:txPr>
        <c:crossAx val="66269184"/>
        <c:crosses val="max"/>
        <c:crossBetween val="between"/>
      </c:valAx>
      <c:dateAx>
        <c:axId val="66269184"/>
        <c:scaling>
          <c:orientation val="minMax"/>
        </c:scaling>
        <c:delete val="1"/>
        <c:axPos val="b"/>
        <c:numFmt formatCode="d;@" sourceLinked="1"/>
        <c:majorTickMark val="out"/>
        <c:minorTickMark val="none"/>
        <c:tickLblPos val="none"/>
        <c:crossAx val="66263296"/>
        <c:crosses val="autoZero"/>
        <c:auto val="1"/>
        <c:lblOffset val="100"/>
        <c:baseTimeUnit val="days"/>
      </c:dateAx>
      <c:spPr>
        <a:solidFill>
          <a:srgbClr val="FFC000">
            <a:alpha val="40000"/>
          </a:srgbClr>
        </a:solidFill>
      </c:spPr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</c:spPr>
  <c:printSettings>
    <c:headerFooter/>
    <c:pageMargins b="0.75000000000002165" l="0.70000000000000462" r="0.70000000000000462" t="0.75000000000002165" header="0.30000000000000032" footer="0.30000000000000032"/>
    <c:pageSetup/>
  </c:printSettings>
  <c:userShapes r:id="rId2"/>
</c:chartSpac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Radio" checked="Checked" firstButton="1" fmlaLink="$A$5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Radio" firstButton="1" fmlaLink="$A$16" noThreeD="1"/>
</file>

<file path=xl/ctrlProps/ctrlProp6.xml><?xml version="1.0" encoding="utf-8"?>
<formControlPr xmlns="http://schemas.microsoft.com/office/spreadsheetml/2009/9/main" objectType="Radio" noThreeD="1"/>
</file>

<file path=xl/ctrlProps/ctrlProp7.xml><?xml version="1.0" encoding="utf-8"?>
<formControlPr xmlns="http://schemas.microsoft.com/office/spreadsheetml/2009/9/main" objectType="Radio" checked="Checked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6" Type="http://schemas.openxmlformats.org/officeDocument/2006/relationships/chart" Target="../charts/chart4.xml"/><Relationship Id="rId1" Type="http://schemas.openxmlformats.org/officeDocument/2006/relationships/chart" Target="../charts/chart1.xml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chart" Target="../charts/chart3.xml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chart" Target="../charts/chart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247403</xdr:colOff>
      <xdr:row>20</xdr:row>
      <xdr:rowOff>0</xdr:rowOff>
    </xdr:from>
    <xdr:to>
      <xdr:col>4</xdr:col>
      <xdr:colOff>14110</xdr:colOff>
      <xdr:row>23</xdr:row>
      <xdr:rowOff>433209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46274</xdr:colOff>
      <xdr:row>9</xdr:row>
      <xdr:rowOff>146225</xdr:rowOff>
    </xdr:from>
    <xdr:to>
      <xdr:col>16</xdr:col>
      <xdr:colOff>677007</xdr:colOff>
      <xdr:row>11</xdr:row>
      <xdr:rowOff>38274</xdr:rowOff>
    </xdr:to>
    <xdr:pic>
      <xdr:nvPicPr>
        <xdr:cNvPr id="30" name="GER" descr="http://img.fifa.com/images/flags/3/ger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1536" y="2787685"/>
          <a:ext cx="630733" cy="3993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154828</xdr:colOff>
      <xdr:row>20</xdr:row>
      <xdr:rowOff>37534</xdr:rowOff>
    </xdr:from>
    <xdr:to>
      <xdr:col>1</xdr:col>
      <xdr:colOff>964709</xdr:colOff>
      <xdr:row>20</xdr:row>
      <xdr:rowOff>253692</xdr:rowOff>
    </xdr:to>
    <xdr:sp macro="" textlink="$F$7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18724" y="6725651"/>
          <a:ext cx="809881" cy="21615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95459A5-EFBE-B94A-A63D-419C9B7BA348}" type="TxLink">
            <a:rPr lang="en-US" sz="1400" b="1" i="0" u="none" strike="noStrike">
              <a:solidFill>
                <a:schemeClr val="tx2">
                  <a:lumMod val="50000"/>
                </a:schemeClr>
              </a:solidFill>
              <a:latin typeface="Calibri"/>
              <a:cs typeface="Calibri"/>
            </a:rPr>
            <a:pPr algn="ctr"/>
            <a:t>(km/h)</a:t>
          </a:fld>
          <a:endParaRPr lang="en-US" sz="1400" b="1">
            <a:solidFill>
              <a:schemeClr val="tx2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249202</xdr:colOff>
      <xdr:row>23</xdr:row>
      <xdr:rowOff>134484</xdr:rowOff>
    </xdr:from>
    <xdr:to>
      <xdr:col>1</xdr:col>
      <xdr:colOff>650522</xdr:colOff>
      <xdr:row>23</xdr:row>
      <xdr:rowOff>396104</xdr:rowOff>
    </xdr:to>
    <xdr:sp macro="" textlink="$S$46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17957" y="8144443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37BB2BAB-F482-B741-A72F-8C74B1C5908A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Mon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1</xdr:col>
      <xdr:colOff>635846</xdr:colOff>
      <xdr:row>23</xdr:row>
      <xdr:rowOff>129611</xdr:rowOff>
    </xdr:from>
    <xdr:to>
      <xdr:col>1</xdr:col>
      <xdr:colOff>1025877</xdr:colOff>
      <xdr:row>23</xdr:row>
      <xdr:rowOff>391231</xdr:rowOff>
    </xdr:to>
    <xdr:sp macro="" textlink="$T$46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903957" y="8130611"/>
          <a:ext cx="390031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AC812765-0648-EC4A-B2ED-956341E1E45A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Tue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1</xdr:col>
      <xdr:colOff>1017552</xdr:colOff>
      <xdr:row>23</xdr:row>
      <xdr:rowOff>132786</xdr:rowOff>
    </xdr:from>
    <xdr:to>
      <xdr:col>2</xdr:col>
      <xdr:colOff>388761</xdr:colOff>
      <xdr:row>23</xdr:row>
      <xdr:rowOff>394406</xdr:rowOff>
    </xdr:to>
    <xdr:sp macro="" textlink="$U$46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285663" y="8133786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25B5C2B8-9AE9-804E-96DE-2777A1256322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Wed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2</xdr:col>
      <xdr:colOff>359974</xdr:colOff>
      <xdr:row>23</xdr:row>
      <xdr:rowOff>125730</xdr:rowOff>
    </xdr:from>
    <xdr:to>
      <xdr:col>2</xdr:col>
      <xdr:colOff>761294</xdr:colOff>
      <xdr:row>23</xdr:row>
      <xdr:rowOff>387350</xdr:rowOff>
    </xdr:to>
    <xdr:sp macro="" textlink="$V$46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658196" y="812673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E4AF4499-F17B-F146-A2A4-B8D867BC659B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Thu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2</xdr:col>
      <xdr:colOff>739564</xdr:colOff>
      <xdr:row>23</xdr:row>
      <xdr:rowOff>139842</xdr:rowOff>
    </xdr:from>
    <xdr:to>
      <xdr:col>3</xdr:col>
      <xdr:colOff>137584</xdr:colOff>
      <xdr:row>23</xdr:row>
      <xdr:rowOff>401462</xdr:rowOff>
    </xdr:to>
    <xdr:sp macro="" textlink="$W$46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037786" y="8140842"/>
          <a:ext cx="385798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298FFBB5-FC69-3541-BCFB-D61FC25A620C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Fri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3</xdr:col>
      <xdr:colOff>137019</xdr:colOff>
      <xdr:row>23</xdr:row>
      <xdr:rowOff>132785</xdr:rowOff>
    </xdr:from>
    <xdr:to>
      <xdr:col>3</xdr:col>
      <xdr:colOff>538339</xdr:colOff>
      <xdr:row>23</xdr:row>
      <xdr:rowOff>394405</xdr:rowOff>
    </xdr:to>
    <xdr:sp macro="" textlink="$X$46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2423019" y="8133785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73AE39EA-36C7-1A4F-B91F-BD024CAFB5A6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Sat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3</xdr:col>
      <xdr:colOff>518371</xdr:colOff>
      <xdr:row>23</xdr:row>
      <xdr:rowOff>132785</xdr:rowOff>
    </xdr:from>
    <xdr:to>
      <xdr:col>3</xdr:col>
      <xdr:colOff>919691</xdr:colOff>
      <xdr:row>23</xdr:row>
      <xdr:rowOff>394405</xdr:rowOff>
    </xdr:to>
    <xdr:sp macro="" textlink="$Y$46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2804371" y="8133785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45591C41-C844-4947-993D-84EE1E5C7B56}" type="TxLink">
            <a:rPr lang="ja-JP" altLang="en-US" sz="1400" b="0" i="0" u="none" strike="noStrike">
              <a:solidFill>
                <a:srgbClr val="000090"/>
              </a:solidFill>
              <a:latin typeface="Calibri"/>
              <a:cs typeface="Calibri"/>
            </a:rPr>
            <a:pPr algn="ctr"/>
            <a:t> </a:t>
          </a:fld>
          <a:endParaRPr lang="en-US" sz="1400" b="0">
            <a:solidFill>
              <a:srgbClr val="000090"/>
            </a:solidFill>
          </a:endParaRPr>
        </a:p>
      </xdr:txBody>
    </xdr:sp>
    <xdr:clientData/>
  </xdr:twoCellAnchor>
  <xdr:twoCellAnchor>
    <xdr:from>
      <xdr:col>1</xdr:col>
      <xdr:colOff>264496</xdr:colOff>
      <xdr:row>23</xdr:row>
      <xdr:rowOff>139964</xdr:rowOff>
    </xdr:from>
    <xdr:to>
      <xdr:col>1</xdr:col>
      <xdr:colOff>665816</xdr:colOff>
      <xdr:row>23</xdr:row>
      <xdr:rowOff>401584</xdr:rowOff>
    </xdr:to>
    <xdr:sp macro="" textlink="$S$47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533251" y="8149923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952A6B04-619B-9C48-AB05-E51019237550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640292</xdr:colOff>
      <xdr:row>23</xdr:row>
      <xdr:rowOff>136173</xdr:rowOff>
    </xdr:from>
    <xdr:to>
      <xdr:col>2</xdr:col>
      <xdr:colOff>212</xdr:colOff>
      <xdr:row>23</xdr:row>
      <xdr:rowOff>397793</xdr:rowOff>
    </xdr:to>
    <xdr:sp macro="" textlink="$T$47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908403" y="8137173"/>
          <a:ext cx="390031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98E6DD81-F9C9-764A-A750-9A98B52BCFD3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1014259</xdr:colOff>
      <xdr:row>23</xdr:row>
      <xdr:rowOff>125546</xdr:rowOff>
    </xdr:from>
    <xdr:to>
      <xdr:col>2</xdr:col>
      <xdr:colOff>385468</xdr:colOff>
      <xdr:row>23</xdr:row>
      <xdr:rowOff>387166</xdr:rowOff>
    </xdr:to>
    <xdr:sp macro="" textlink="$U$47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283014" y="8135505"/>
          <a:ext cx="398803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94423DD8-5783-E74B-B88E-CDF434606F8E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350308</xdr:colOff>
      <xdr:row>23</xdr:row>
      <xdr:rowOff>132996</xdr:rowOff>
    </xdr:from>
    <xdr:to>
      <xdr:col>2</xdr:col>
      <xdr:colOff>751628</xdr:colOff>
      <xdr:row>23</xdr:row>
      <xdr:rowOff>394616</xdr:rowOff>
    </xdr:to>
    <xdr:sp macro="" textlink="$V$47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648530" y="8133996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2B559A39-23AF-F245-930F-29255D6C0A18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727803</xdr:colOff>
      <xdr:row>23</xdr:row>
      <xdr:rowOff>120585</xdr:rowOff>
    </xdr:from>
    <xdr:to>
      <xdr:col>3</xdr:col>
      <xdr:colOff>125823</xdr:colOff>
      <xdr:row>23</xdr:row>
      <xdr:rowOff>382205</xdr:rowOff>
    </xdr:to>
    <xdr:sp macro="" textlink="$W$47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2024152" y="8130544"/>
          <a:ext cx="388725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D9B7DDE5-BFB5-6C44-BEEC-2D81467F25B4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120671</xdr:colOff>
      <xdr:row>23</xdr:row>
      <xdr:rowOff>129251</xdr:rowOff>
    </xdr:from>
    <xdr:to>
      <xdr:col>3</xdr:col>
      <xdr:colOff>521991</xdr:colOff>
      <xdr:row>23</xdr:row>
      <xdr:rowOff>390871</xdr:rowOff>
    </xdr:to>
    <xdr:sp macro="" textlink="$X$47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407725" y="8139210"/>
          <a:ext cx="401320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79F8F6B8-5A81-BE46-AB6B-54C91869BEF6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 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503349</xdr:colOff>
      <xdr:row>23</xdr:row>
      <xdr:rowOff>127639</xdr:rowOff>
    </xdr:from>
    <xdr:to>
      <xdr:col>3</xdr:col>
      <xdr:colOff>906080</xdr:colOff>
      <xdr:row>23</xdr:row>
      <xdr:rowOff>389259</xdr:rowOff>
    </xdr:to>
    <xdr:sp macro="" textlink="$Y$47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790403" y="8137598"/>
          <a:ext cx="402731" cy="261620"/>
        </a:xfrm>
        <a:prstGeom prst="rect">
          <a:avLst/>
        </a:prstGeom>
        <a:noFill/>
        <a:ln w="9525" cmpd="sng">
          <a:solidFill>
            <a:schemeClr val="lt1">
              <a:shade val="50000"/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ctr"/>
        <a:lstStyle/>
        <a:p>
          <a:pPr algn="ctr"/>
          <a:fld id="{B3D08E6D-E313-BF47-A37B-7A9074EE8ABE}" type="TxLink">
            <a:rPr lang="ja-JP" altLang="en-US" sz="1800" b="0" i="0" u="none" strike="noStrike">
              <a:solidFill>
                <a:srgbClr val="FF0000"/>
              </a:solidFill>
              <a:latin typeface="Calibri"/>
              <a:cs typeface="Calibri"/>
            </a:rPr>
            <a:pPr algn="ctr"/>
            <a:t>Sun</a:t>
          </a:fld>
          <a:endParaRPr lang="en-US" sz="1800" b="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16</xdr:col>
      <xdr:colOff>38100</xdr:colOff>
      <xdr:row>14</xdr:row>
      <xdr:rowOff>47626</xdr:rowOff>
    </xdr:from>
    <xdr:to>
      <xdr:col>16</xdr:col>
      <xdr:colOff>676475</xdr:colOff>
      <xdr:row>14</xdr:row>
      <xdr:rowOff>480801</xdr:rowOff>
    </xdr:to>
    <xdr:pic>
      <xdr:nvPicPr>
        <xdr:cNvPr id="33" name="ITA" descr="http://img.fifa.com/images/flags/3/ita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9600" y="4249209"/>
          <a:ext cx="638375" cy="4331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41275</xdr:colOff>
      <xdr:row>14</xdr:row>
      <xdr:rowOff>525991</xdr:rowOff>
    </xdr:from>
    <xdr:to>
      <xdr:col>16</xdr:col>
      <xdr:colOff>679651</xdr:colOff>
      <xdr:row>15</xdr:row>
      <xdr:rowOff>390657</xdr:rowOff>
    </xdr:to>
    <xdr:pic>
      <xdr:nvPicPr>
        <xdr:cNvPr id="34" name="RUS" descr="http://img.fifa.com/images/flags/3/rus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2775" y="4727574"/>
          <a:ext cx="638376" cy="415001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44773</xdr:colOff>
      <xdr:row>13</xdr:row>
      <xdr:rowOff>90134</xdr:rowOff>
    </xdr:from>
    <xdr:to>
      <xdr:col>16</xdr:col>
      <xdr:colOff>678915</xdr:colOff>
      <xdr:row>13</xdr:row>
      <xdr:rowOff>526910</xdr:rowOff>
    </xdr:to>
    <xdr:pic>
      <xdr:nvPicPr>
        <xdr:cNvPr id="35" name="FRA" descr="http://img.fifa.com/images/flags/3/fra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0035" y="3746195"/>
          <a:ext cx="634142" cy="43677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45061</xdr:colOff>
      <xdr:row>11</xdr:row>
      <xdr:rowOff>95425</xdr:rowOff>
    </xdr:from>
    <xdr:to>
      <xdr:col>16</xdr:col>
      <xdr:colOff>682825</xdr:colOff>
      <xdr:row>13</xdr:row>
      <xdr:rowOff>38484</xdr:rowOff>
    </xdr:to>
    <xdr:pic>
      <xdr:nvPicPr>
        <xdr:cNvPr id="36" name="ESP" descr="http://img.fifa.com/images/flags/3/esp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50323" y="3244185"/>
          <a:ext cx="637764" cy="45035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40416</xdr:colOff>
      <xdr:row>18</xdr:row>
      <xdr:rowOff>97366</xdr:rowOff>
    </xdr:from>
    <xdr:to>
      <xdr:col>16</xdr:col>
      <xdr:colOff>678589</xdr:colOff>
      <xdr:row>19</xdr:row>
      <xdr:rowOff>383117</xdr:rowOff>
    </xdr:to>
    <xdr:pic>
      <xdr:nvPicPr>
        <xdr:cNvPr id="37" name="USA" descr="http://img.fifa.com/images/flags/3/us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1916" y="6182783"/>
          <a:ext cx="638173" cy="4233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44220</xdr:colOff>
      <xdr:row>8</xdr:row>
      <xdr:rowOff>76971</xdr:rowOff>
    </xdr:from>
    <xdr:to>
      <xdr:col>16</xdr:col>
      <xdr:colOff>690146</xdr:colOff>
      <xdr:row>9</xdr:row>
      <xdr:rowOff>91118</xdr:rowOff>
    </xdr:to>
    <xdr:pic>
      <xdr:nvPicPr>
        <xdr:cNvPr id="38" name="POR" descr="http://img.fifa.com/images/flags/3/por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9482" y="2298596"/>
          <a:ext cx="645926" cy="433982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40217</xdr:colOff>
      <xdr:row>16</xdr:row>
      <xdr:rowOff>11508</xdr:rowOff>
    </xdr:from>
    <xdr:to>
      <xdr:col>16</xdr:col>
      <xdr:colOff>679651</xdr:colOff>
      <xdr:row>16</xdr:row>
      <xdr:rowOff>430741</xdr:rowOff>
    </xdr:to>
    <xdr:pic>
      <xdr:nvPicPr>
        <xdr:cNvPr id="39" name="JPN" descr="http://img.fifa.com/images/flags/3/jpn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1717" y="5207925"/>
          <a:ext cx="639434" cy="419233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254000</xdr:colOff>
      <xdr:row>19</xdr:row>
      <xdr:rowOff>158750</xdr:rowOff>
    </xdr:from>
    <xdr:to>
      <xdr:col>16</xdr:col>
      <xdr:colOff>698604</xdr:colOff>
      <xdr:row>19</xdr:row>
      <xdr:rowOff>425450</xdr:rowOff>
    </xdr:to>
    <xdr:pic>
      <xdr:nvPicPr>
        <xdr:cNvPr id="6" name="Picture 5" descr="Screenshot 2018-01-07 22.38.57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76300" y="5759450"/>
          <a:ext cx="444604" cy="266700"/>
        </a:xfrm>
        <a:prstGeom prst="rect">
          <a:avLst/>
        </a:prstGeom>
      </xdr:spPr>
    </xdr:pic>
    <xdr:clientData/>
  </xdr:twoCellAnchor>
  <xdr:twoCellAnchor editAs="oneCell">
    <xdr:from>
      <xdr:col>16</xdr:col>
      <xdr:colOff>34986</xdr:colOff>
      <xdr:row>7</xdr:row>
      <xdr:rowOff>40654</xdr:rowOff>
    </xdr:from>
    <xdr:to>
      <xdr:col>16</xdr:col>
      <xdr:colOff>709710</xdr:colOff>
      <xdr:row>8</xdr:row>
      <xdr:rowOff>20992</xdr:rowOff>
    </xdr:to>
    <xdr:pic>
      <xdr:nvPicPr>
        <xdr:cNvPr id="7" name="Picture 6" descr="Screenshot 2018-01-07 22.41.3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40248" y="1765475"/>
          <a:ext cx="674724" cy="477142"/>
        </a:xfrm>
        <a:prstGeom prst="rect">
          <a:avLst/>
        </a:prstGeom>
      </xdr:spPr>
    </xdr:pic>
    <xdr:clientData/>
  </xdr:twoCellAnchor>
  <xdr:twoCellAnchor editAs="oneCell">
    <xdr:from>
      <xdr:col>16</xdr:col>
      <xdr:colOff>346075</xdr:colOff>
      <xdr:row>8</xdr:row>
      <xdr:rowOff>280826</xdr:rowOff>
    </xdr:from>
    <xdr:to>
      <xdr:col>16</xdr:col>
      <xdr:colOff>711200</xdr:colOff>
      <xdr:row>9</xdr:row>
      <xdr:rowOff>116579</xdr:rowOff>
    </xdr:to>
    <xdr:pic>
      <xdr:nvPicPr>
        <xdr:cNvPr id="11" name="Picture 10" descr="Screenshot 2018-01-09 10.34.23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17575" y="2492743"/>
          <a:ext cx="365125" cy="259086"/>
        </a:xfrm>
        <a:prstGeom prst="rect">
          <a:avLst/>
        </a:prstGeom>
      </xdr:spPr>
    </xdr:pic>
    <xdr:clientData/>
  </xdr:twoCellAnchor>
  <xdr:twoCellAnchor editAs="oneCell">
    <xdr:from>
      <xdr:col>16</xdr:col>
      <xdr:colOff>254000</xdr:colOff>
      <xdr:row>13</xdr:row>
      <xdr:rowOff>283633</xdr:rowOff>
    </xdr:from>
    <xdr:to>
      <xdr:col>16</xdr:col>
      <xdr:colOff>698604</xdr:colOff>
      <xdr:row>14</xdr:row>
      <xdr:rowOff>1723</xdr:rowOff>
    </xdr:to>
    <xdr:pic>
      <xdr:nvPicPr>
        <xdr:cNvPr id="41" name="Picture 40" descr="Screenshot 2018-01-07 22.38.57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0" y="3934883"/>
          <a:ext cx="444604" cy="266700"/>
        </a:xfrm>
        <a:prstGeom prst="rect">
          <a:avLst/>
        </a:prstGeom>
      </xdr:spPr>
    </xdr:pic>
    <xdr:clientData/>
  </xdr:twoCellAnchor>
  <xdr:twoCellAnchor editAs="oneCell">
    <xdr:from>
      <xdr:col>16</xdr:col>
      <xdr:colOff>42334</xdr:colOff>
      <xdr:row>17</xdr:row>
      <xdr:rowOff>52917</xdr:rowOff>
    </xdr:from>
    <xdr:to>
      <xdr:col>16</xdr:col>
      <xdr:colOff>682231</xdr:colOff>
      <xdr:row>18</xdr:row>
      <xdr:rowOff>42333</xdr:rowOff>
    </xdr:to>
    <xdr:pic>
      <xdr:nvPicPr>
        <xdr:cNvPr id="43" name="dimg_25" descr="Image result for chinese fla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7596" y="5689198"/>
          <a:ext cx="639897" cy="433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14</xdr:row>
          <xdr:rowOff>63500</xdr:rowOff>
        </xdr:from>
        <xdr:to>
          <xdr:col>1</xdr:col>
          <xdr:colOff>330200</xdr:colOff>
          <xdr:row>16</xdr:row>
          <xdr:rowOff>381000</xdr:rowOff>
        </xdr:to>
        <xdr:sp macro="" textlink="">
          <xdr:nvSpPr>
            <xdr:cNvPr id="4109" name="Control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4</xdr:row>
          <xdr:rowOff>76200</xdr:rowOff>
        </xdr:from>
        <xdr:to>
          <xdr:col>1</xdr:col>
          <xdr:colOff>342900</xdr:colOff>
          <xdr:row>4</xdr:row>
          <xdr:rowOff>304800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</xdr:row>
          <xdr:rowOff>63500</xdr:rowOff>
        </xdr:from>
        <xdr:to>
          <xdr:col>2</xdr:col>
          <xdr:colOff>342900</xdr:colOff>
          <xdr:row>4</xdr:row>
          <xdr:rowOff>292100</xdr:rowOff>
        </xdr:to>
        <xdr:sp macro="" textlink="">
          <xdr:nvSpPr>
            <xdr:cNvPr id="4099" name="Control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4</xdr:row>
          <xdr:rowOff>63500</xdr:rowOff>
        </xdr:from>
        <xdr:to>
          <xdr:col>3</xdr:col>
          <xdr:colOff>330200</xdr:colOff>
          <xdr:row>4</xdr:row>
          <xdr:rowOff>279400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14</xdr:row>
          <xdr:rowOff>190500</xdr:rowOff>
        </xdr:from>
        <xdr:to>
          <xdr:col>1</xdr:col>
          <xdr:colOff>304800</xdr:colOff>
          <xdr:row>14</xdr:row>
          <xdr:rowOff>368300</xdr:rowOff>
        </xdr:to>
        <xdr:sp macro="" textlink="">
          <xdr:nvSpPr>
            <xdr:cNvPr id="4105" name="Control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12700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15</xdr:row>
          <xdr:rowOff>127000</xdr:rowOff>
        </xdr:from>
        <xdr:to>
          <xdr:col>1</xdr:col>
          <xdr:colOff>292100</xdr:colOff>
          <xdr:row>15</xdr:row>
          <xdr:rowOff>330200</xdr:rowOff>
        </xdr:to>
        <xdr:sp macro="" textlink="">
          <xdr:nvSpPr>
            <xdr:cNvPr id="4106" name="Control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50800</xdr:colOff>
          <xdr:row>16</xdr:row>
          <xdr:rowOff>139700</xdr:rowOff>
        </xdr:from>
        <xdr:to>
          <xdr:col>1</xdr:col>
          <xdr:colOff>292100</xdr:colOff>
          <xdr:row>16</xdr:row>
          <xdr:rowOff>330200</xdr:rowOff>
        </xdr:to>
        <xdr:sp macro="" textlink="">
          <xdr:nvSpPr>
            <xdr:cNvPr id="4107" name="Control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93518</xdr:colOff>
      <xdr:row>17</xdr:row>
      <xdr:rowOff>228216</xdr:rowOff>
    </xdr:from>
    <xdr:to>
      <xdr:col>1</xdr:col>
      <xdr:colOff>959428</xdr:colOff>
      <xdr:row>17</xdr:row>
      <xdr:rowOff>436036</xdr:rowOff>
    </xdr:to>
    <xdr:sp macro="" textlink="JAN!AE34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1629" y="5865605"/>
          <a:ext cx="865910" cy="20782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8BA069D-957F-994E-B395-8E430EB0DB1D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743</a:t>
          </a:fld>
          <a:endParaRPr lang="en-US" sz="1400"/>
        </a:p>
      </xdr:txBody>
    </xdr:sp>
    <xdr:clientData/>
  </xdr:twoCellAnchor>
  <xdr:twoCellAnchor>
    <xdr:from>
      <xdr:col>2</xdr:col>
      <xdr:colOff>1</xdr:colOff>
      <xdr:row>17</xdr:row>
      <xdr:rowOff>221159</xdr:rowOff>
    </xdr:from>
    <xdr:to>
      <xdr:col>3</xdr:col>
      <xdr:colOff>3465</xdr:colOff>
      <xdr:row>17</xdr:row>
      <xdr:rowOff>430133</xdr:rowOff>
    </xdr:to>
    <xdr:sp macro="" textlink="JAN!AF34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298223" y="5858548"/>
          <a:ext cx="991242" cy="208974"/>
        </a:xfrm>
        <a:prstGeom prst="rect">
          <a:avLst/>
        </a:prstGeom>
        <a:solidFill>
          <a:srgbClr val="F8F6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46DDBDAF-4A6D-DD49-A02D-EF05ACAF42B3}" type="TxLink">
            <a:rPr lang="en-US" sz="1400" b="0" i="0" u="none" strike="noStrike">
              <a:solidFill>
                <a:schemeClr val="tx1"/>
              </a:solidFill>
              <a:latin typeface="Calibri"/>
              <a:cs typeface="Calibri"/>
            </a:rPr>
            <a:pPr algn="ctr"/>
            <a:t>1,307,173</a:t>
          </a:fld>
          <a:endParaRPr 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41691</xdr:colOff>
      <xdr:row>17</xdr:row>
      <xdr:rowOff>218467</xdr:rowOff>
    </xdr:from>
    <xdr:to>
      <xdr:col>4</xdr:col>
      <xdr:colOff>4488</xdr:colOff>
      <xdr:row>17</xdr:row>
      <xdr:rowOff>420513</xdr:rowOff>
    </xdr:to>
    <xdr:sp macro="" textlink="JAN!AG34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327691" y="5855856"/>
          <a:ext cx="992908" cy="20204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58BFC6F-724E-D042-A77B-20BEE8078592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1,195,279</a:t>
          </a:fld>
          <a:endParaRPr lang="en-US" sz="1400"/>
        </a:p>
      </xdr:txBody>
    </xdr:sp>
    <xdr:clientData/>
  </xdr:twoCellAnchor>
  <xdr:twoCellAnchor>
    <xdr:from>
      <xdr:col>3</xdr:col>
      <xdr:colOff>99770</xdr:colOff>
      <xdr:row>20</xdr:row>
      <xdr:rowOff>57727</xdr:rowOff>
    </xdr:from>
    <xdr:to>
      <xdr:col>3</xdr:col>
      <xdr:colOff>909652</xdr:colOff>
      <xdr:row>20</xdr:row>
      <xdr:rowOff>240953</xdr:rowOff>
    </xdr:to>
    <xdr:sp macro="" textlink="$AO$20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384121" y="6745844"/>
          <a:ext cx="809882" cy="183226"/>
        </a:xfrm>
        <a:prstGeom prst="rect">
          <a:avLst/>
        </a:prstGeom>
        <a:solidFill>
          <a:schemeClr val="tx2"/>
        </a:solidFill>
        <a:ln w="12700" cmpd="sng">
          <a:solidFill>
            <a:srgbClr val="FFFF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AD3497E-E397-7940-97A1-207BF675662D}" type="TxLink">
            <a:rPr lang="ja-JP" altLang="en-US" sz="1200" b="0" i="0" u="none" strike="noStrike">
              <a:solidFill>
                <a:srgbClr val="FFFF00"/>
              </a:solidFill>
              <a:latin typeface="Calibri"/>
              <a:cs typeface="Calibri"/>
            </a:rPr>
            <a:pPr algn="ctr"/>
            <a:t>wet days</a:t>
          </a:fld>
          <a:endParaRPr lang="en-US" sz="1200" b="0">
            <a:solidFill>
              <a:srgbClr val="FFFF00"/>
            </a:solidFill>
          </a:endParaRPr>
        </a:p>
      </xdr:txBody>
    </xdr:sp>
    <xdr:clientData/>
  </xdr:twoCellAnchor>
  <xdr:twoCellAnchor>
    <xdr:from>
      <xdr:col>5</xdr:col>
      <xdr:colOff>780</xdr:colOff>
      <xdr:row>7</xdr:row>
      <xdr:rowOff>106948</xdr:rowOff>
    </xdr:from>
    <xdr:to>
      <xdr:col>15</xdr:col>
      <xdr:colOff>848894</xdr:colOff>
      <xdr:row>20</xdr:row>
      <xdr:rowOff>367631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382991" y="1831474"/>
          <a:ext cx="9871798" cy="5220368"/>
        </a:xfrm>
        <a:prstGeom prst="rect">
          <a:avLst/>
        </a:prstGeom>
        <a:solidFill>
          <a:srgbClr val="F5FF7A">
            <a:alpha val="0"/>
          </a:srgb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13</xdr:col>
      <xdr:colOff>855575</xdr:colOff>
      <xdr:row>7</xdr:row>
      <xdr:rowOff>127000</xdr:rowOff>
    </xdr:from>
    <xdr:to>
      <xdr:col>15</xdr:col>
      <xdr:colOff>827540</xdr:colOff>
      <xdr:row>20</xdr:row>
      <xdr:rowOff>346364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23092</xdr:colOff>
      <xdr:row>7</xdr:row>
      <xdr:rowOff>127001</xdr:rowOff>
    </xdr:from>
    <xdr:to>
      <xdr:col>15</xdr:col>
      <xdr:colOff>381001</xdr:colOff>
      <xdr:row>20</xdr:row>
      <xdr:rowOff>346365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00000000-0008-0000-0000-00004F000000}"/>
            </a:ext>
            <a:ext uri="{147F2762-F138-4A5C-976F-8EAC2B608ADB}">
              <a16:predDERef xmlns:a16="http://schemas.microsoft.com/office/drawing/2014/main" pre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absoluteAnchor>
    <xdr:pos x="3427829" y="1841542"/>
    <xdr:ext cx="8998633" cy="5149273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  <a:ext uri="{147F2762-F138-4A5C-976F-8EAC2B608ADB}">
              <a16:predDERef xmlns:a16="http://schemas.microsoft.com/office/drawing/2014/main" pred="{00000000-0008-0000-0000-00002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absoluteAnchor>
  <xdr:twoCellAnchor>
    <xdr:from>
      <xdr:col>5</xdr:col>
      <xdr:colOff>265</xdr:colOff>
      <xdr:row>7</xdr:row>
      <xdr:rowOff>110627</xdr:rowOff>
    </xdr:from>
    <xdr:to>
      <xdr:col>15</xdr:col>
      <xdr:colOff>82468</xdr:colOff>
      <xdr:row>20</xdr:row>
      <xdr:rowOff>363623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  <a:ext uri="{147F2762-F138-4A5C-976F-8EAC2B608ADB}">
              <a16:predDERef xmlns:a16="http://schemas.microsoft.com/office/drawing/2014/main" pred="{00000000-0008-0000-0800-000005000000}"/>
            </a:ext>
          </a:extLst>
        </xdr:cNvPr>
        <xdr:cNvSpPr txBox="1"/>
      </xdr:nvSpPr>
      <xdr:spPr>
        <a:xfrm>
          <a:off x="3381434" y="1850692"/>
          <a:ext cx="9071164" cy="5201048"/>
        </a:xfrm>
        <a:prstGeom prst="rect">
          <a:avLst/>
        </a:prstGeom>
        <a:solidFill>
          <a:srgbClr val="F5FF7A">
            <a:alpha val="0"/>
          </a:srgbClr>
        </a:solidFill>
        <a:ln w="254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93518</xdr:colOff>
      <xdr:row>19</xdr:row>
      <xdr:rowOff>22193</xdr:rowOff>
    </xdr:from>
    <xdr:to>
      <xdr:col>1</xdr:col>
      <xdr:colOff>959428</xdr:colOff>
      <xdr:row>19</xdr:row>
      <xdr:rowOff>231424</xdr:rowOff>
    </xdr:to>
    <xdr:sp macro="" textlink="JAN!AE36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60218" y="6245193"/>
          <a:ext cx="865910" cy="20923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96953F7-2096-AD4F-B1E1-1699461EFF23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186</a:t>
          </a:fld>
          <a:endParaRPr lang="en-US" sz="1400"/>
        </a:p>
      </xdr:txBody>
    </xdr:sp>
    <xdr:clientData/>
  </xdr:twoCellAnchor>
  <xdr:twoCellAnchor>
    <xdr:from>
      <xdr:col>1</xdr:col>
      <xdr:colOff>1016001</xdr:colOff>
      <xdr:row>19</xdr:row>
      <xdr:rowOff>22192</xdr:rowOff>
    </xdr:from>
    <xdr:to>
      <xdr:col>2</xdr:col>
      <xdr:colOff>981365</xdr:colOff>
      <xdr:row>19</xdr:row>
      <xdr:rowOff>232577</xdr:rowOff>
    </xdr:to>
    <xdr:sp macro="" textlink="JAN!AF36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282701" y="6245192"/>
          <a:ext cx="994064" cy="210385"/>
        </a:xfrm>
        <a:prstGeom prst="rect">
          <a:avLst/>
        </a:prstGeom>
        <a:solidFill>
          <a:srgbClr val="F8F6A8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06CB8A0-4162-5E43-A6FE-504DF6D943FB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327,017</a:t>
          </a:fld>
          <a:endParaRPr lang="en-US" sz="14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34636</xdr:colOff>
      <xdr:row>19</xdr:row>
      <xdr:rowOff>30660</xdr:rowOff>
    </xdr:from>
    <xdr:to>
      <xdr:col>3</xdr:col>
      <xdr:colOff>1027544</xdr:colOff>
      <xdr:row>19</xdr:row>
      <xdr:rowOff>234117</xdr:rowOff>
    </xdr:to>
    <xdr:sp macro="" textlink="JAN!AG36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320636" y="6253660"/>
          <a:ext cx="992908" cy="20345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9D5432D-7871-934E-BFD5-A4B05130EDFC}" type="TxLink">
            <a:rPr lang="en-US" sz="14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299,024</a:t>
          </a:fld>
          <a:endParaRPr lang="en-US" sz="14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55D622AE-6317-6044-85F2-E85A272BFFC8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7909</xdr:colOff>
      <xdr:row>41</xdr:row>
      <xdr:rowOff>44025</xdr:rowOff>
    </xdr:from>
    <xdr:to>
      <xdr:col>25</xdr:col>
      <xdr:colOff>12700</xdr:colOff>
      <xdr:row>59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7341</xdr:colOff>
      <xdr:row>0</xdr:row>
      <xdr:rowOff>25400</xdr:rowOff>
    </xdr:from>
    <xdr:to>
      <xdr:col>25</xdr:col>
      <xdr:colOff>18344</xdr:colOff>
      <xdr:row>19</xdr:row>
      <xdr:rowOff>211667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7337</xdr:colOff>
      <xdr:row>20</xdr:row>
      <xdr:rowOff>12701</xdr:rowOff>
    </xdr:from>
    <xdr:to>
      <xdr:col>25</xdr:col>
      <xdr:colOff>18343</xdr:colOff>
      <xdr:row>41</xdr:row>
      <xdr:rowOff>31891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988A8F9E-DB77-3748-AC3E-8D3921FA603B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20610</xdr:colOff>
      <xdr:row>40</xdr:row>
      <xdr:rowOff>183726</xdr:rowOff>
    </xdr:from>
    <xdr:to>
      <xdr:col>25</xdr:col>
      <xdr:colOff>16934</xdr:colOff>
      <xdr:row>59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27095</xdr:colOff>
      <xdr:row>0</xdr:row>
      <xdr:rowOff>0</xdr:rowOff>
    </xdr:from>
    <xdr:to>
      <xdr:col>25</xdr:col>
      <xdr:colOff>12700</xdr:colOff>
      <xdr:row>20</xdr:row>
      <xdr:rowOff>8466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22860</xdr:colOff>
      <xdr:row>19</xdr:row>
      <xdr:rowOff>208281</xdr:rowOff>
    </xdr:from>
    <xdr:to>
      <xdr:col>25</xdr:col>
      <xdr:colOff>16933</xdr:colOff>
      <xdr:row>40</xdr:row>
      <xdr:rowOff>178647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1D7B7FF8-704B-AE40-9378-0EEC335D7F9C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12700</xdr:colOff>
      <xdr:row>41</xdr:row>
      <xdr:rowOff>6308</xdr:rowOff>
    </xdr:from>
    <xdr:to>
      <xdr:col>25</xdr:col>
      <xdr:colOff>6352</xdr:colOff>
      <xdr:row>59</xdr:row>
      <xdr:rowOff>16724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11506</xdr:colOff>
      <xdr:row>0</xdr:row>
      <xdr:rowOff>25400</xdr:rowOff>
    </xdr:from>
    <xdr:to>
      <xdr:col>25</xdr:col>
      <xdr:colOff>12700</xdr:colOff>
      <xdr:row>20</xdr:row>
      <xdr:rowOff>30016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14970</xdr:colOff>
      <xdr:row>20</xdr:row>
      <xdr:rowOff>27883</xdr:rowOff>
    </xdr:from>
    <xdr:to>
      <xdr:col>25</xdr:col>
      <xdr:colOff>12700</xdr:colOff>
      <xdr:row>41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41B72B39-EA5C-C24A-893C-CDFDDDBC5837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12589</xdr:colOff>
      <xdr:row>40</xdr:row>
      <xdr:rowOff>189741</xdr:rowOff>
    </xdr:from>
    <xdr:to>
      <xdr:col>24</xdr:col>
      <xdr:colOff>678446</xdr:colOff>
      <xdr:row>59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14172</xdr:colOff>
      <xdr:row>0</xdr:row>
      <xdr:rowOff>115637</xdr:rowOff>
    </xdr:from>
    <xdr:to>
      <xdr:col>24</xdr:col>
      <xdr:colOff>673544</xdr:colOff>
      <xdr:row>20</xdr:row>
      <xdr:rowOff>113408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13502</xdr:colOff>
      <xdr:row>20</xdr:row>
      <xdr:rowOff>104450</xdr:rowOff>
    </xdr:from>
    <xdr:to>
      <xdr:col>24</xdr:col>
      <xdr:colOff>677109</xdr:colOff>
      <xdr:row>40</xdr:row>
      <xdr:rowOff>183816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3F4EFBE7-6BFC-564A-ADD6-B521BB74AD2D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16377</xdr:colOff>
      <xdr:row>40</xdr:row>
      <xdr:rowOff>179494</xdr:rowOff>
    </xdr:from>
    <xdr:to>
      <xdr:col>25</xdr:col>
      <xdr:colOff>12701</xdr:colOff>
      <xdr:row>59</xdr:row>
      <xdr:rowOff>16933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22861</xdr:colOff>
      <xdr:row>0</xdr:row>
      <xdr:rowOff>25400</xdr:rowOff>
    </xdr:from>
    <xdr:to>
      <xdr:col>25</xdr:col>
      <xdr:colOff>25400</xdr:colOff>
      <xdr:row>20</xdr:row>
      <xdr:rowOff>16933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18627</xdr:colOff>
      <xdr:row>20</xdr:row>
      <xdr:rowOff>846</xdr:rowOff>
    </xdr:from>
    <xdr:to>
      <xdr:col>25</xdr:col>
      <xdr:colOff>12700</xdr:colOff>
      <xdr:row>40</xdr:row>
      <xdr:rowOff>170179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0.17277</cdr:x>
      <cdr:y>0.00334</cdr:y>
    </cdr:from>
    <cdr:to>
      <cdr:x>0.89433</cdr:x>
      <cdr:y>0.07955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69935" y="15874"/>
          <a:ext cx="6556707" cy="3619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b"/>
        <a:lstStyle xmlns:a="http://schemas.openxmlformats.org/drawingml/2006/main"/>
        <a:p xmlns:a="http://schemas.openxmlformats.org/drawingml/2006/main">
          <a:pPr algn="ctr"/>
          <a:endParaRPr lang="en-GB" sz="16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0.24184</cdr:x>
      <cdr:y>0.0197</cdr:y>
    </cdr:from>
    <cdr:to>
      <cdr:x>0.85096</cdr:x>
      <cdr:y>0.08863</cdr:y>
    </cdr:to>
    <cdr:sp macro="" textlink="'MY STATS'!$AM$20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86CD93D-003C-D946-83D6-C744AAE44321}"/>
            </a:ext>
          </a:extLst>
        </cdr:cNvPr>
        <cdr:cNvSpPr txBox="1"/>
      </cdr:nvSpPr>
      <cdr:spPr>
        <a:xfrm xmlns:a="http://schemas.openxmlformats.org/drawingml/2006/main">
          <a:off x="2203449" y="101601"/>
          <a:ext cx="5549900" cy="355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rtlCol="0" anchor="ctr" anchorCtr="0"/>
        <a:lstStyle xmlns:a="http://schemas.openxmlformats.org/drawingml/2006/main"/>
        <a:p xmlns:a="http://schemas.openxmlformats.org/drawingml/2006/main">
          <a:pPr algn="ctr"/>
          <a:fld id="{FA95716A-149C-3C44-A31F-9BAFD7DFA7C1}" type="TxLink">
            <a:rPr lang="en-US" altLang="ja-JP" sz="1600" b="0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Keep up with the 'swim line' to reach your target!</a:t>
          </a:fld>
          <a:endParaRPr lang="en-US" sz="11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3B09C3E5-335E-814B-B61D-D90E3177EF66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20608</xdr:colOff>
      <xdr:row>41</xdr:row>
      <xdr:rowOff>63499</xdr:rowOff>
    </xdr:from>
    <xdr:to>
      <xdr:col>25</xdr:col>
      <xdr:colOff>25399</xdr:colOff>
      <xdr:row>59</xdr:row>
      <xdr:rowOff>24131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10161</xdr:colOff>
      <xdr:row>0</xdr:row>
      <xdr:rowOff>12700</xdr:rowOff>
    </xdr:from>
    <xdr:to>
      <xdr:col>25</xdr:col>
      <xdr:colOff>16933</xdr:colOff>
      <xdr:row>20</xdr:row>
      <xdr:rowOff>4233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18628</xdr:colOff>
      <xdr:row>20</xdr:row>
      <xdr:rowOff>13545</xdr:rowOff>
    </xdr:from>
    <xdr:to>
      <xdr:col>25</xdr:col>
      <xdr:colOff>16934</xdr:colOff>
      <xdr:row>41</xdr:row>
      <xdr:rowOff>51644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AE4ECF37-F367-464E-B820-A9A6062D18AB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144570</xdr:colOff>
      <xdr:row>46</xdr:row>
      <xdr:rowOff>158045</xdr:rowOff>
    </xdr:from>
    <xdr:to>
      <xdr:col>39</xdr:col>
      <xdr:colOff>158043</xdr:colOff>
      <xdr:row>65</xdr:row>
      <xdr:rowOff>57426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518164</xdr:colOff>
      <xdr:row>0</xdr:row>
      <xdr:rowOff>38100</xdr:rowOff>
    </xdr:from>
    <xdr:to>
      <xdr:col>39</xdr:col>
      <xdr:colOff>533402</xdr:colOff>
      <xdr:row>20</xdr:row>
      <xdr:rowOff>66322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213358</xdr:colOff>
      <xdr:row>23</xdr:row>
      <xdr:rowOff>60112</xdr:rowOff>
    </xdr:from>
    <xdr:to>
      <xdr:col>39</xdr:col>
      <xdr:colOff>228600</xdr:colOff>
      <xdr:row>44</xdr:row>
      <xdr:rowOff>85511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B8ADF9DB-1510-0D49-8205-D743183CCC11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12144</xdr:colOff>
      <xdr:row>40</xdr:row>
      <xdr:rowOff>175257</xdr:rowOff>
    </xdr:from>
    <xdr:to>
      <xdr:col>25</xdr:col>
      <xdr:colOff>12700</xdr:colOff>
      <xdr:row>59</xdr:row>
      <xdr:rowOff>8465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14395</xdr:colOff>
      <xdr:row>0</xdr:row>
      <xdr:rowOff>12700</xdr:rowOff>
    </xdr:from>
    <xdr:to>
      <xdr:col>25</xdr:col>
      <xdr:colOff>12699</xdr:colOff>
      <xdr:row>20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14393</xdr:colOff>
      <xdr:row>20</xdr:row>
      <xdr:rowOff>43179</xdr:rowOff>
    </xdr:from>
    <xdr:to>
      <xdr:col>25</xdr:col>
      <xdr:colOff>12700</xdr:colOff>
      <xdr:row>40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AD87F3C5-C6FD-B241-B515-44A64E3216F6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15877</xdr:colOff>
      <xdr:row>40</xdr:row>
      <xdr:rowOff>132174</xdr:rowOff>
    </xdr:from>
    <xdr:to>
      <xdr:col>25</xdr:col>
      <xdr:colOff>9526</xdr:colOff>
      <xdr:row>58</xdr:row>
      <xdr:rowOff>215900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9584</xdr:colOff>
      <xdr:row>0</xdr:row>
      <xdr:rowOff>0</xdr:rowOff>
    </xdr:from>
    <xdr:to>
      <xdr:col>25</xdr:col>
      <xdr:colOff>10584</xdr:colOff>
      <xdr:row>20</xdr:row>
      <xdr:rowOff>2767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10933</xdr:colOff>
      <xdr:row>20</xdr:row>
      <xdr:rowOff>3642</xdr:rowOff>
    </xdr:from>
    <xdr:to>
      <xdr:col>25</xdr:col>
      <xdr:colOff>12825</xdr:colOff>
      <xdr:row>40</xdr:row>
      <xdr:rowOff>137128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29</xdr:col>
      <xdr:colOff>50800</xdr:colOff>
      <xdr:row>38</xdr:row>
      <xdr:rowOff>63500</xdr:rowOff>
    </xdr:from>
    <xdr:to>
      <xdr:col>33</xdr:col>
      <xdr:colOff>101600</xdr:colOff>
      <xdr:row>49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5887700" y="7848600"/>
          <a:ext cx="4216400" cy="24003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800" b="1">
              <a:solidFill>
                <a:srgbClr val="FF0000"/>
              </a:solidFill>
              <a:latin typeface="+mj-lt"/>
            </a:rPr>
            <a:t>Have a go at putting YOUR previous years mileage/meterage in the table</a:t>
          </a:r>
          <a:r>
            <a:rPr lang="en-US" sz="1800" b="1" baseline="0">
              <a:solidFill>
                <a:srgbClr val="FF0000"/>
              </a:solidFill>
              <a:latin typeface="+mj-lt"/>
            </a:rPr>
            <a:t> above. </a:t>
          </a:r>
        </a:p>
        <a:p>
          <a:pPr algn="ctr"/>
          <a:r>
            <a:rPr lang="en-US" sz="1600" b="1" baseline="0">
              <a:solidFill>
                <a:srgbClr val="00B050"/>
              </a:solidFill>
              <a:latin typeface="+mj-lt"/>
            </a:rPr>
            <a:t>See the daily changing effect it has on the MY STATS 'forecast' chart</a:t>
          </a:r>
        </a:p>
        <a:p>
          <a:pPr algn="ctr"/>
          <a:endParaRPr lang="en-US" sz="1400" b="1" baseline="0">
            <a:latin typeface="+mj-lt"/>
          </a:endParaRPr>
        </a:p>
        <a:p>
          <a:pPr algn="ctr"/>
          <a:r>
            <a:rPr lang="en-US" sz="1400" b="1" baseline="0">
              <a:latin typeface="+mj-lt"/>
            </a:rPr>
            <a:t>Do please remove my examples first</a:t>
          </a:r>
          <a:endParaRPr lang="en-US" sz="1400" b="1">
            <a:latin typeface="+mj-lt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21552</xdr:colOff>
      <xdr:row>41</xdr:row>
      <xdr:rowOff>63500</xdr:rowOff>
    </xdr:from>
    <xdr:to>
      <xdr:col>25</xdr:col>
      <xdr:colOff>12699</xdr:colOff>
      <xdr:row>59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18629</xdr:colOff>
      <xdr:row>0</xdr:row>
      <xdr:rowOff>139700</xdr:rowOff>
    </xdr:from>
    <xdr:to>
      <xdr:col>25</xdr:col>
      <xdr:colOff>0</xdr:colOff>
      <xdr:row>20</xdr:row>
      <xdr:rowOff>100446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6502</xdr:colOff>
      <xdr:row>20</xdr:row>
      <xdr:rowOff>96868</xdr:rowOff>
    </xdr:from>
    <xdr:to>
      <xdr:col>25</xdr:col>
      <xdr:colOff>4233</xdr:colOff>
      <xdr:row>41</xdr:row>
      <xdr:rowOff>53379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0.01606</cdr:x>
      <cdr:y>0.1603</cdr:y>
    </cdr:from>
    <cdr:to>
      <cdr:x>0.99381</cdr:x>
      <cdr:y>0.26489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B39584F4-D655-0A48-AF54-A81473FFE8FE}"/>
            </a:ext>
          </a:extLst>
        </cdr:cNvPr>
        <cdr:cNvSpPr txBox="1"/>
      </cdr:nvSpPr>
      <cdr:spPr>
        <a:xfrm xmlns:a="http://schemas.openxmlformats.org/drawingml/2006/main">
          <a:off x="114300" y="635000"/>
          <a:ext cx="6960439" cy="4143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16172</xdr:colOff>
      <xdr:row>40</xdr:row>
      <xdr:rowOff>195455</xdr:rowOff>
    </xdr:from>
    <xdr:to>
      <xdr:col>25</xdr:col>
      <xdr:colOff>12700</xdr:colOff>
      <xdr:row>58</xdr:row>
      <xdr:rowOff>215900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27758</xdr:colOff>
      <xdr:row>0</xdr:row>
      <xdr:rowOff>12700</xdr:rowOff>
    </xdr:from>
    <xdr:to>
      <xdr:col>25</xdr:col>
      <xdr:colOff>25401</xdr:colOff>
      <xdr:row>20</xdr:row>
      <xdr:rowOff>29634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26329</xdr:colOff>
      <xdr:row>20</xdr:row>
      <xdr:rowOff>30838</xdr:rowOff>
    </xdr:from>
    <xdr:to>
      <xdr:col>25</xdr:col>
      <xdr:colOff>25400</xdr:colOff>
      <xdr:row>40</xdr:row>
      <xdr:rowOff>184818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  <cdr:relSizeAnchor xmlns:cdr="http://schemas.openxmlformats.org/drawingml/2006/chartDrawing">
    <cdr:from>
      <cdr:x>0.00878</cdr:x>
      <cdr:y>0.15405</cdr:y>
    </cdr:from>
    <cdr:to>
      <cdr:x>0.99229</cdr:x>
      <cdr:y>0.25498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8442" y="589280"/>
          <a:ext cx="7666716" cy="3860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GB" sz="2000" b="0">
              <a:solidFill>
                <a:srgbClr val="E11936"/>
              </a:solidFill>
            </a:rPr>
            <a:t>        Distance                                 </a:t>
          </a:r>
          <a:r>
            <a:rPr lang="en-GB" sz="2000" b="0" baseline="0">
              <a:solidFill>
                <a:srgbClr val="E11936"/>
              </a:solidFill>
            </a:rPr>
            <a:t>                                            </a:t>
          </a:r>
          <a:r>
            <a:rPr lang="en-GB" sz="2000" b="0">
              <a:solidFill>
                <a:srgbClr val="002B82"/>
              </a:solidFill>
            </a:rPr>
            <a:t>Speed</a:t>
          </a:r>
        </a:p>
      </cdr:txBody>
    </cdr:sp>
  </cdr:relSizeAnchor>
  <cdr:relSizeAnchor xmlns:cdr="http://schemas.openxmlformats.org/drawingml/2006/chartDrawing">
    <cdr:from>
      <cdr:x>0.04165</cdr:x>
      <cdr:y>0.0269</cdr:y>
    </cdr:from>
    <cdr:to>
      <cdr:x>0.60366</cdr:x>
      <cdr:y>0.13221</cdr:y>
    </cdr:to>
    <cdr:sp macro="" textlink="">
      <cdr:nvSpPr>
        <cdr:cNvPr id="4" name="Rectangle 4">
          <a:extLst xmlns:a="http://schemas.openxmlformats.org/drawingml/2006/main">
            <a:ext uri="{FF2B5EF4-FFF2-40B4-BE49-F238E27FC236}">
              <a16:creationId xmlns:a16="http://schemas.microsoft.com/office/drawing/2014/main" id="{4C37D975-01E5-4F41-BB2E-FC06160FC233}"/>
            </a:ext>
          </a:extLst>
        </cdr:cNvPr>
        <cdr:cNvSpPr/>
      </cdr:nvSpPr>
      <cdr:spPr>
        <a:xfrm xmlns:a="http://schemas.openxmlformats.org/drawingml/2006/main">
          <a:off x="266700" y="114300"/>
          <a:ext cx="3598278" cy="447561"/>
        </a:xfrm>
        <a:prstGeom xmlns:a="http://schemas.openxmlformats.org/drawingml/2006/main" prst="rect">
          <a:avLst/>
        </a:prstGeom>
        <a:solidFill xmlns:a="http://schemas.openxmlformats.org/drawingml/2006/main">
          <a:srgbClr val="4BACC6">
            <a:lumMod val="20000"/>
            <a:lumOff val="80000"/>
          </a:srgbClr>
        </a:solidFill>
        <a:ln xmlns:a="http://schemas.openxmlformats.org/drawingml/2006/main" w="25400" cap="flat" cmpd="sng" algn="ctr">
          <a:solidFill>
            <a:srgbClr val="4F81BD">
              <a:shade val="50000"/>
            </a:srgb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chart units can be changed on the "My Stats" page</a:t>
          </a:r>
        </a:p>
        <a:p xmlns:a="http://schemas.openxmlformats.org/drawingml/2006/main">
          <a:pPr algn="ctr"/>
          <a:r>
            <a:rPr lang="en-GB" sz="1100">
              <a:solidFill>
                <a:schemeClr val="tx1"/>
              </a:solidFill>
            </a:rPr>
            <a:t>(iPad users change the yellow box number)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24458</xdr:colOff>
      <xdr:row>41</xdr:row>
      <xdr:rowOff>8236</xdr:rowOff>
    </xdr:from>
    <xdr:to>
      <xdr:col>25</xdr:col>
      <xdr:colOff>12700</xdr:colOff>
      <xdr:row>59</xdr:row>
      <xdr:rowOff>35423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20169</xdr:colOff>
      <xdr:row>0</xdr:row>
      <xdr:rowOff>50800</xdr:rowOff>
    </xdr:from>
    <xdr:to>
      <xdr:col>25</xdr:col>
      <xdr:colOff>12700</xdr:colOff>
      <xdr:row>20</xdr:row>
      <xdr:rowOff>45798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17085</xdr:colOff>
      <xdr:row>20</xdr:row>
      <xdr:rowOff>53572</xdr:rowOff>
    </xdr:from>
    <xdr:to>
      <xdr:col>25</xdr:col>
      <xdr:colOff>12700</xdr:colOff>
      <xdr:row>41</xdr:row>
      <xdr:rowOff>25092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T99"/>
  <sheetViews>
    <sheetView zoomScale="110" zoomScaleNormal="110" workbookViewId="0">
      <selection activeCell="E5" sqref="E5"/>
    </sheetView>
  </sheetViews>
  <sheetFormatPr baseColWidth="10" defaultColWidth="8.83203125" defaultRowHeight="16"/>
  <cols>
    <col min="1" max="1" width="3.5" customWidth="1"/>
    <col min="2" max="2" width="13.5" customWidth="1"/>
    <col min="3" max="3" width="13" customWidth="1"/>
    <col min="4" max="4" width="13.5" customWidth="1"/>
    <col min="5" max="5" width="0.83203125" customWidth="1"/>
    <col min="6" max="6" width="11.83203125" customWidth="1"/>
    <col min="7" max="7" width="11.83203125" style="7" customWidth="1"/>
    <col min="8" max="17" width="11.83203125" customWidth="1"/>
    <col min="18" max="18" width="2.83203125" customWidth="1"/>
    <col min="19" max="19" width="10.1640625" style="7" customWidth="1"/>
    <col min="20" max="20" width="17.6640625" style="7" customWidth="1"/>
    <col min="21" max="21" width="13" style="7" customWidth="1"/>
    <col min="22" max="22" width="11.1640625" style="7" customWidth="1"/>
    <col min="23" max="23" width="11.83203125" style="7" customWidth="1"/>
    <col min="24" max="24" width="9.6640625" style="7" customWidth="1"/>
    <col min="25" max="25" width="10" customWidth="1"/>
    <col min="26" max="26" width="9.5" bestFit="1" customWidth="1"/>
    <col min="27" max="27" width="11.6640625" bestFit="1" customWidth="1"/>
    <col min="28" max="28" width="14.6640625" customWidth="1"/>
    <col min="29" max="29" width="12" bestFit="1" customWidth="1"/>
    <col min="30" max="30" width="14.1640625" customWidth="1"/>
    <col min="33" max="33" width="8.83203125" customWidth="1"/>
    <col min="38" max="38" width="32.5" customWidth="1"/>
    <col min="39" max="39" width="34.33203125" customWidth="1"/>
    <col min="40" max="51" width="8.83203125" customWidth="1"/>
    <col min="52" max="52" width="12.83203125" customWidth="1"/>
    <col min="53" max="59" width="8.83203125" customWidth="1"/>
  </cols>
  <sheetData>
    <row r="1" spans="1:66" ht="9" customHeight="1" thickBot="1">
      <c r="A1" s="525"/>
      <c r="B1" s="526"/>
      <c r="C1" s="526"/>
      <c r="D1" s="526"/>
      <c r="E1" s="526"/>
      <c r="F1" s="526"/>
      <c r="G1" s="527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0"/>
    </row>
    <row r="2" spans="1:66" ht="33" customHeight="1" thickTop="1" thickBot="1">
      <c r="A2" s="528"/>
      <c r="B2" s="466" t="str">
        <f>U20</f>
        <v>Target    reset         zone</v>
      </c>
      <c r="C2" s="467"/>
      <c r="D2" s="239">
        <v>255</v>
      </c>
      <c r="E2" s="83"/>
      <c r="F2" s="485" t="str">
        <f>IF(COUNTBLANK(I2:M2)&gt;0,AB20,"")</f>
        <v xml:space="preserve">choose your own venue codes to use             on the data input sheets    :-        </v>
      </c>
      <c r="G2" s="486"/>
      <c r="H2" s="486"/>
      <c r="I2" s="219"/>
      <c r="J2" s="219"/>
      <c r="K2" s="219" t="s">
        <v>484</v>
      </c>
      <c r="L2" s="219" t="s">
        <v>485</v>
      </c>
      <c r="M2" s="219" t="s">
        <v>486</v>
      </c>
      <c r="N2" s="274" t="str">
        <f>IF(AE20=0,"",CONCATENATE(AE20,":-   ",AL45))</f>
        <v>swims not timed:-   0</v>
      </c>
      <c r="O2" s="487" t="str">
        <f>AG20</f>
        <v>total wet time this year   : -   (dd:hh:mm)</v>
      </c>
      <c r="P2" s="488"/>
      <c r="Q2" s="196">
        <f>AK46</f>
        <v>0</v>
      </c>
      <c r="R2" s="521"/>
      <c r="S2" s="281"/>
      <c r="T2" s="289"/>
      <c r="U2" s="282"/>
      <c r="V2" s="28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3"/>
      <c r="AS2" s="273"/>
    </row>
    <row r="3" spans="1:66" ht="7" customHeight="1" thickTop="1" thickBot="1">
      <c r="A3" s="528"/>
      <c r="B3" s="468"/>
      <c r="C3" s="469"/>
      <c r="D3" s="464" t="str">
        <f>IF(A5=1,"miles",IF(A5=2,"yards","metres"))</f>
        <v>miles</v>
      </c>
      <c r="E3" s="83"/>
      <c r="F3" s="96"/>
      <c r="G3" s="97"/>
      <c r="H3" s="97"/>
      <c r="I3" s="114"/>
      <c r="J3" s="98"/>
      <c r="K3" s="98"/>
      <c r="L3" s="98"/>
      <c r="M3" s="98"/>
      <c r="N3" s="98"/>
      <c r="O3" s="98"/>
      <c r="P3" s="98"/>
      <c r="Q3" s="99"/>
      <c r="R3" s="521"/>
      <c r="S3" s="281"/>
      <c r="T3" s="281"/>
      <c r="U3" s="281"/>
      <c r="V3" s="281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3"/>
      <c r="AS3" s="273"/>
    </row>
    <row r="4" spans="1:66" ht="22" customHeight="1" thickTop="1" thickBot="1">
      <c r="A4" s="528"/>
      <c r="B4" s="470"/>
      <c r="C4" s="471"/>
      <c r="D4" s="465"/>
      <c r="E4" s="83"/>
      <c r="F4" s="132" t="str">
        <f>W20</f>
        <v>speed</v>
      </c>
      <c r="G4" s="134" t="str">
        <f>IF(G7="","",IF(G7&gt;0,"1",""))</f>
        <v/>
      </c>
      <c r="H4" s="135" t="str">
        <f>IF(H7="","",IF(H7&gt;0,"2",""))</f>
        <v/>
      </c>
      <c r="I4" s="136" t="str">
        <f>IF(I7="","",IF(I7&gt;0,"3",""))</f>
        <v/>
      </c>
      <c r="J4" s="137" t="str">
        <f>IF(J7="","",IF(J7&gt;0,"4",""))</f>
        <v/>
      </c>
      <c r="K4" s="138" t="str">
        <f>IF(K7="","",IF(K7&gt;0,"5",""))</f>
        <v/>
      </c>
      <c r="L4" s="132" t="str">
        <f>X20</f>
        <v>time</v>
      </c>
      <c r="M4" s="134" t="str">
        <f>IF(M7="","",IF(M7&gt;0,"1",""))</f>
        <v/>
      </c>
      <c r="N4" s="135" t="str">
        <f>IF(N7="","",IF(N7&gt;0,"2",""))</f>
        <v/>
      </c>
      <c r="O4" s="136" t="str">
        <f>IF(O7="","",IF(O7&gt;0,"3",""))</f>
        <v/>
      </c>
      <c r="P4" s="137" t="str">
        <f>IF(P7="","",IF(P7&gt;0,"4",""))</f>
        <v/>
      </c>
      <c r="Q4" s="138" t="str">
        <f>IF(Q7="","",IF(Q7&gt;0,"5",""))</f>
        <v/>
      </c>
      <c r="R4" s="521"/>
      <c r="S4" s="281"/>
      <c r="T4" s="281"/>
      <c r="U4" s="281"/>
      <c r="V4" s="281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3"/>
      <c r="AS4" s="273"/>
    </row>
    <row r="5" spans="1:66" ht="33" customHeight="1" thickTop="1" thickBot="1">
      <c r="A5" s="237">
        <v>1</v>
      </c>
      <c r="B5" s="238" t="s">
        <v>112</v>
      </c>
      <c r="C5" s="228" t="s">
        <v>419</v>
      </c>
      <c r="D5" s="229" t="s">
        <v>366</v>
      </c>
      <c r="E5" s="177">
        <f>A16</f>
        <v>3</v>
      </c>
      <c r="F5" s="175" t="str">
        <f>Y20</f>
        <v>in each venue</v>
      </c>
      <c r="G5" s="145" t="str">
        <f>AS45</f>
        <v>OW</v>
      </c>
      <c r="H5" s="143" t="str">
        <f>AT45</f>
        <v>pool1</v>
      </c>
      <c r="I5" s="115" t="str">
        <f>AU45</f>
        <v>pool2</v>
      </c>
      <c r="J5" s="141" t="str">
        <f>AV45</f>
        <v/>
      </c>
      <c r="K5" s="116" t="str">
        <f>AW45</f>
        <v/>
      </c>
      <c r="L5" s="175" t="str">
        <f>Y20</f>
        <v>in each venue</v>
      </c>
      <c r="M5" s="149" t="str">
        <f>AF45</f>
        <v>OW</v>
      </c>
      <c r="N5" s="148" t="str">
        <f>AG45</f>
        <v>pool1</v>
      </c>
      <c r="O5" s="139" t="str">
        <f>AH45</f>
        <v>pool2</v>
      </c>
      <c r="P5" s="147" t="str">
        <f>AI45</f>
        <v/>
      </c>
      <c r="Q5" s="140" t="str">
        <f>AJ45</f>
        <v/>
      </c>
      <c r="R5" s="521"/>
      <c r="S5" s="167"/>
      <c r="T5" s="95"/>
      <c r="U5" s="283"/>
      <c r="V5" s="283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272"/>
      <c r="AQ5" s="272"/>
      <c r="AR5" s="273"/>
      <c r="AS5" s="273"/>
    </row>
    <row r="6" spans="1:66" ht="7" customHeight="1" thickTop="1" thickBot="1">
      <c r="A6" s="529"/>
      <c r="B6" s="87"/>
      <c r="C6" s="87"/>
      <c r="D6" s="87"/>
      <c r="E6" s="177"/>
      <c r="F6" s="175"/>
      <c r="G6" s="145"/>
      <c r="H6" s="143"/>
      <c r="I6" s="115"/>
      <c r="J6" s="141"/>
      <c r="K6" s="116"/>
      <c r="L6" s="175"/>
      <c r="M6" s="149"/>
      <c r="N6" s="148"/>
      <c r="O6" s="139"/>
      <c r="P6" s="147"/>
      <c r="Q6" s="140"/>
      <c r="R6" s="521"/>
      <c r="S6" s="167"/>
      <c r="T6" s="95"/>
      <c r="U6" s="283"/>
      <c r="V6" s="283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272"/>
      <c r="AQ6" s="272"/>
      <c r="AR6" s="273"/>
      <c r="AS6" s="273"/>
    </row>
    <row r="7" spans="1:66" ht="27.75" customHeight="1" thickBot="1">
      <c r="A7" s="530"/>
      <c r="B7" s="203" t="str">
        <f>VLOOKUP(Q21,Q8:AA17,4)</f>
        <v>Target</v>
      </c>
      <c r="C7" s="236">
        <v>2024</v>
      </c>
      <c r="D7" s="204" t="str">
        <f>VLOOKUP(Q21,Q8:AB17,6)</f>
        <v>Total</v>
      </c>
      <c r="E7" s="83"/>
      <c r="F7" s="133" t="str">
        <f>IF(A16=1,"(mph)",IF(A16=2,"(mph)",IF(A16=3,"(km/h)","????")))</f>
        <v>(km/h)</v>
      </c>
      <c r="G7" s="146">
        <f>IF(G5="","",HLOOKUP(AS30,$AS44:$AW46,3,FALSE))</f>
        <v>0</v>
      </c>
      <c r="H7" s="144">
        <f>IF(H5="","",HLOOKUP(AT30,$AS44:$AW46,3,FALSE))</f>
        <v>0</v>
      </c>
      <c r="I7" s="117">
        <f>IF(I5="","",HLOOKUP(AU30,$AS44:$AW46,3,FALSE))</f>
        <v>0</v>
      </c>
      <c r="J7" s="142" t="str">
        <f>IF(J5="","",HLOOKUP(AV30,$AS44:$AW46,3,FALSE))</f>
        <v/>
      </c>
      <c r="K7" s="118" t="str">
        <f>IF(K5="","",HLOOKUP(AW30,$AS44:$AW46,3,FALSE))</f>
        <v/>
      </c>
      <c r="L7" s="174" t="s">
        <v>456</v>
      </c>
      <c r="M7" s="162">
        <f>IF(M5="","",HLOOKUP(AF30,$AF44:$AJ46,3,FALSE))</f>
        <v>0</v>
      </c>
      <c r="N7" s="163">
        <f>IF(N5="","",HLOOKUP(AG30,$AF44:$AJ46,3,FALSE))</f>
        <v>0</v>
      </c>
      <c r="O7" s="164">
        <f>IF(O5="","",HLOOKUP(AH30,$AF44:$AJ46,3,FALSE))</f>
        <v>0</v>
      </c>
      <c r="P7" s="165" t="str">
        <f>IF(P5="","",HLOOKUP(AI30,$AF44:$AJ46,3,FALSE))</f>
        <v/>
      </c>
      <c r="Q7" s="166" t="str">
        <f>IF(Q5="","",HLOOKUP(AJ30,$AF44:$AJ46,3,FALSE))</f>
        <v/>
      </c>
      <c r="R7" s="521"/>
      <c r="S7" s="95"/>
      <c r="T7" s="95"/>
      <c r="U7" s="95"/>
      <c r="V7" s="95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272"/>
      <c r="AQ7" s="27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92"/>
      <c r="BC7" s="292"/>
      <c r="BD7" s="292"/>
      <c r="BE7" s="292"/>
      <c r="BF7" s="292"/>
      <c r="BG7" s="292"/>
      <c r="BH7" s="292"/>
      <c r="BI7" s="292"/>
      <c r="BJ7" s="292"/>
    </row>
    <row r="8" spans="1:66" ht="39" customHeight="1" thickTop="1">
      <c r="A8" s="528"/>
      <c r="B8" s="205">
        <f>IF(A5=1,D2,IF(A5=2,D2*0.000568181818,IF(A5=3,D2*0.000568181818*1.0936133)))</f>
        <v>255</v>
      </c>
      <c r="C8" s="206" t="s">
        <v>28</v>
      </c>
      <c r="D8" s="207">
        <f>D10*0.000568181818*1.0936133</f>
        <v>0</v>
      </c>
      <c r="E8" s="83"/>
      <c r="F8" s="83"/>
      <c r="G8" s="86"/>
      <c r="H8" s="83"/>
      <c r="I8" s="83"/>
      <c r="J8" s="83"/>
      <c r="K8" s="83"/>
      <c r="L8" s="83"/>
      <c r="M8" s="83"/>
      <c r="N8" s="83"/>
      <c r="O8" s="83"/>
      <c r="P8" s="83"/>
      <c r="Q8" s="243">
        <v>1</v>
      </c>
      <c r="R8" s="521"/>
      <c r="S8" s="366" t="s">
        <v>121</v>
      </c>
      <c r="T8" s="366" t="s">
        <v>42</v>
      </c>
      <c r="U8" s="170" t="s">
        <v>440</v>
      </c>
      <c r="V8" s="170" t="s">
        <v>33</v>
      </c>
      <c r="W8" s="170" t="s">
        <v>122</v>
      </c>
      <c r="X8" s="170" t="s">
        <v>123</v>
      </c>
      <c r="Y8" s="170" t="s">
        <v>92</v>
      </c>
      <c r="Z8" s="170" t="s">
        <v>124</v>
      </c>
      <c r="AA8" s="170" t="s">
        <v>125</v>
      </c>
      <c r="AB8" s="170" t="s">
        <v>439</v>
      </c>
      <c r="AC8" s="170" t="s">
        <v>266</v>
      </c>
      <c r="AD8" s="367" t="s">
        <v>391</v>
      </c>
      <c r="AE8" s="170" t="s">
        <v>410</v>
      </c>
      <c r="AF8" s="170" t="s">
        <v>67</v>
      </c>
      <c r="AG8" s="170" t="s">
        <v>488</v>
      </c>
      <c r="AH8" s="170" t="s">
        <v>360</v>
      </c>
      <c r="AI8" s="170" t="s">
        <v>441</v>
      </c>
      <c r="AJ8" s="368" t="s">
        <v>343</v>
      </c>
      <c r="AK8" s="368" t="s">
        <v>344</v>
      </c>
      <c r="AL8" s="283" t="s">
        <v>355</v>
      </c>
      <c r="AM8" s="369" t="s">
        <v>451</v>
      </c>
      <c r="AN8" s="370" t="s">
        <v>428</v>
      </c>
      <c r="AO8" s="368" t="s">
        <v>474</v>
      </c>
      <c r="AP8" s="371"/>
      <c r="AQ8" s="372"/>
      <c r="AR8" s="294"/>
      <c r="AS8" s="294"/>
      <c r="AT8" s="294"/>
      <c r="AU8" s="294"/>
      <c r="AV8" s="294"/>
      <c r="AW8" s="294"/>
      <c r="AX8" s="294"/>
      <c r="AY8" s="294"/>
      <c r="AZ8" s="294"/>
      <c r="BA8" s="294"/>
      <c r="BB8" s="294"/>
      <c r="BC8" s="294"/>
      <c r="BD8" s="294"/>
      <c r="BE8" s="294"/>
      <c r="BF8" s="294"/>
      <c r="BG8" s="294"/>
      <c r="BH8" s="294"/>
      <c r="BI8" s="294"/>
      <c r="BJ8" s="294"/>
      <c r="BK8" s="200"/>
      <c r="BL8" s="200"/>
      <c r="BM8" s="200"/>
      <c r="BN8" s="200"/>
    </row>
    <row r="9" spans="1:66" ht="33" customHeight="1">
      <c r="A9" s="528"/>
      <c r="B9" s="208">
        <f>IF(A5=1,D2/0.000568181818,IF(A5=2,D2,IF(A5=3,D2*1.0936133)))</f>
        <v>448800.00014361594</v>
      </c>
      <c r="C9" s="209" t="s">
        <v>29</v>
      </c>
      <c r="D9" s="210">
        <f>D10*1.0936133</f>
        <v>0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240">
        <v>2</v>
      </c>
      <c r="R9" s="521"/>
      <c r="S9" s="182" t="s">
        <v>188</v>
      </c>
      <c r="T9" s="182" t="s">
        <v>249</v>
      </c>
      <c r="U9" s="170" t="s">
        <v>442</v>
      </c>
      <c r="V9" s="170" t="s">
        <v>33</v>
      </c>
      <c r="W9" s="170" t="s">
        <v>226</v>
      </c>
      <c r="X9" s="170" t="s">
        <v>199</v>
      </c>
      <c r="Y9" s="170" t="s">
        <v>203</v>
      </c>
      <c r="Z9" s="170" t="s">
        <v>216</v>
      </c>
      <c r="AA9" s="170" t="s">
        <v>217</v>
      </c>
      <c r="AB9" s="170" t="s">
        <v>446</v>
      </c>
      <c r="AC9" s="170" t="s">
        <v>260</v>
      </c>
      <c r="AD9" s="170" t="s">
        <v>449</v>
      </c>
      <c r="AE9" s="170" t="s">
        <v>412</v>
      </c>
      <c r="AF9" s="170" t="s">
        <v>338</v>
      </c>
      <c r="AG9" s="170" t="s">
        <v>246</v>
      </c>
      <c r="AH9" s="170" t="s">
        <v>424</v>
      </c>
      <c r="AI9" s="170" t="s">
        <v>361</v>
      </c>
      <c r="AJ9" s="373" t="s">
        <v>349</v>
      </c>
      <c r="AK9" s="373" t="s">
        <v>349</v>
      </c>
      <c r="AL9" s="79" t="s">
        <v>351</v>
      </c>
      <c r="AM9" s="369" t="s">
        <v>430</v>
      </c>
      <c r="AN9" s="79"/>
      <c r="AO9" s="373" t="s">
        <v>349</v>
      </c>
      <c r="AP9" s="272"/>
      <c r="AQ9" s="272"/>
      <c r="AR9" s="292"/>
      <c r="AS9" s="292"/>
      <c r="AT9" s="292"/>
      <c r="AU9" s="292"/>
      <c r="AV9" s="292"/>
      <c r="AW9" s="292"/>
      <c r="AX9" s="292"/>
      <c r="AY9" s="292"/>
      <c r="AZ9" s="292"/>
      <c r="BA9" s="292"/>
      <c r="BB9" s="292"/>
      <c r="BC9" s="292"/>
      <c r="BD9" s="292"/>
      <c r="BE9" s="292"/>
      <c r="BF9" s="292"/>
      <c r="BG9" s="292"/>
      <c r="BH9" s="292"/>
      <c r="BI9" s="292"/>
      <c r="BJ9" s="292"/>
    </row>
    <row r="10" spans="1:66" ht="33" customHeight="1" thickBot="1">
      <c r="A10" s="531"/>
      <c r="B10" s="211">
        <f>IF(A5=1,D2/0.000568181818/1.0936133,IF(A5=2,D2/1.0936133,IF(A5=3,D2)))</f>
        <v>410382.71950754069</v>
      </c>
      <c r="C10" s="212" t="s">
        <v>356</v>
      </c>
      <c r="D10" s="213">
        <f>J43</f>
        <v>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475">
        <v>3</v>
      </c>
      <c r="R10" s="521"/>
      <c r="S10" s="182" t="s">
        <v>425</v>
      </c>
      <c r="T10" s="182" t="s">
        <v>464</v>
      </c>
      <c r="U10" s="170" t="s">
        <v>189</v>
      </c>
      <c r="V10" s="170" t="s">
        <v>252</v>
      </c>
      <c r="W10" s="170" t="s">
        <v>225</v>
      </c>
      <c r="X10" s="170" t="s">
        <v>202</v>
      </c>
      <c r="Y10" s="170" t="s">
        <v>204</v>
      </c>
      <c r="Z10" s="170" t="s">
        <v>215</v>
      </c>
      <c r="AA10" s="170" t="s">
        <v>218</v>
      </c>
      <c r="AB10" s="170" t="s">
        <v>230</v>
      </c>
      <c r="AC10" s="374" t="s">
        <v>261</v>
      </c>
      <c r="AD10" s="170" t="s">
        <v>235</v>
      </c>
      <c r="AE10" s="170" t="s">
        <v>413</v>
      </c>
      <c r="AF10" s="170" t="s">
        <v>238</v>
      </c>
      <c r="AG10" s="170" t="s">
        <v>247</v>
      </c>
      <c r="AH10" s="170" t="s">
        <v>423</v>
      </c>
      <c r="AI10" s="170" t="s">
        <v>362</v>
      </c>
      <c r="AJ10" s="373" t="s">
        <v>426</v>
      </c>
      <c r="AK10" s="373" t="s">
        <v>426</v>
      </c>
      <c r="AL10" s="79" t="s">
        <v>427</v>
      </c>
      <c r="AM10" s="369" t="s">
        <v>417</v>
      </c>
      <c r="AN10" s="79"/>
      <c r="AO10" s="373" t="s">
        <v>426</v>
      </c>
      <c r="AP10" s="272"/>
      <c r="AQ10" s="272"/>
      <c r="AR10" s="292"/>
      <c r="AS10" s="292"/>
      <c r="AT10" s="292"/>
      <c r="AU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</row>
    <row r="11" spans="1:66" ht="7" customHeight="1" thickBot="1">
      <c r="A11" s="531"/>
      <c r="B11" s="215"/>
      <c r="C11" s="216"/>
      <c r="D11" s="215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476"/>
      <c r="R11" s="521"/>
      <c r="S11" s="182"/>
      <c r="T11" s="182"/>
      <c r="U11" s="170"/>
      <c r="V11" s="170"/>
      <c r="W11" s="170"/>
      <c r="X11" s="170"/>
      <c r="Y11" s="170"/>
      <c r="Z11" s="170"/>
      <c r="AA11" s="170"/>
      <c r="AB11" s="170"/>
      <c r="AC11" s="374"/>
      <c r="AD11" s="170"/>
      <c r="AE11" s="170"/>
      <c r="AF11" s="170"/>
      <c r="AG11" s="170"/>
      <c r="AH11" s="170"/>
      <c r="AI11" s="170"/>
      <c r="AJ11" s="373"/>
      <c r="AK11" s="373"/>
      <c r="AL11" s="79"/>
      <c r="AM11" s="369"/>
      <c r="AN11" s="79"/>
      <c r="AO11" s="373"/>
      <c r="AP11" s="272"/>
      <c r="AQ11" s="272"/>
      <c r="AR11" s="292"/>
      <c r="AS11" s="292"/>
      <c r="AT11" s="292"/>
      <c r="AU11" s="292"/>
      <c r="AV11" s="292"/>
      <c r="AW11" s="292"/>
      <c r="AX11" s="292"/>
      <c r="AY11" s="292"/>
      <c r="AZ11" s="292"/>
      <c r="BA11" s="292"/>
      <c r="BB11" s="292"/>
      <c r="BC11" s="292"/>
      <c r="BD11" s="292"/>
      <c r="BE11" s="292"/>
      <c r="BF11" s="292"/>
      <c r="BG11" s="292"/>
      <c r="BH11" s="292"/>
      <c r="BI11" s="292"/>
      <c r="BJ11" s="292"/>
    </row>
    <row r="12" spans="1:66" ht="33" customHeight="1" thickBot="1">
      <c r="A12" s="532"/>
      <c r="B12" s="472">
        <f ca="1">IF(TODAY()&lt;$D$44,TODAY(),$D$44-1)</f>
        <v>45291</v>
      </c>
      <c r="C12" s="473"/>
      <c r="D12" s="474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475">
        <v>4</v>
      </c>
      <c r="R12" s="521"/>
      <c r="S12" s="182" t="s">
        <v>188</v>
      </c>
      <c r="T12" s="182" t="s">
        <v>250</v>
      </c>
      <c r="U12" s="170" t="s">
        <v>443</v>
      </c>
      <c r="V12" s="170" t="s">
        <v>33</v>
      </c>
      <c r="W12" s="170" t="s">
        <v>227</v>
      </c>
      <c r="X12" s="170" t="s">
        <v>201</v>
      </c>
      <c r="Y12" s="170" t="s">
        <v>205</v>
      </c>
      <c r="Z12" s="170" t="s">
        <v>214</v>
      </c>
      <c r="AA12" s="170" t="s">
        <v>219</v>
      </c>
      <c r="AB12" s="170" t="s">
        <v>447</v>
      </c>
      <c r="AC12" s="170" t="s">
        <v>262</v>
      </c>
      <c r="AD12" s="170" t="s">
        <v>453</v>
      </c>
      <c r="AE12" s="170" t="s">
        <v>411</v>
      </c>
      <c r="AF12" s="170" t="s">
        <v>237</v>
      </c>
      <c r="AG12" s="170" t="s">
        <v>245</v>
      </c>
      <c r="AH12" s="170" t="s">
        <v>422</v>
      </c>
      <c r="AI12" s="170" t="s">
        <v>363</v>
      </c>
      <c r="AJ12" s="373" t="s">
        <v>348</v>
      </c>
      <c r="AK12" s="373" t="s">
        <v>348</v>
      </c>
      <c r="AL12" s="79" t="s">
        <v>352</v>
      </c>
      <c r="AM12" s="369" t="s">
        <v>450</v>
      </c>
      <c r="AN12" s="79"/>
      <c r="AO12" s="373" t="s">
        <v>348</v>
      </c>
      <c r="AP12" s="272"/>
      <c r="AQ12" s="272"/>
      <c r="AR12" s="292"/>
      <c r="AS12" s="292"/>
      <c r="AT12" s="292"/>
      <c r="AU12" s="292"/>
      <c r="AV12" s="292"/>
      <c r="AW12" s="292"/>
      <c r="AX12" s="292"/>
      <c r="AY12" s="292"/>
      <c r="AZ12" s="292"/>
      <c r="BA12" s="292"/>
      <c r="BB12" s="292"/>
      <c r="BC12" s="292"/>
      <c r="BD12" s="292"/>
      <c r="BE12" s="292"/>
      <c r="BF12" s="292"/>
      <c r="BG12" s="292"/>
      <c r="BH12" s="292"/>
      <c r="BI12" s="292"/>
      <c r="BJ12" s="292"/>
    </row>
    <row r="13" spans="1:66" ht="7.5" customHeight="1" thickBot="1">
      <c r="A13" s="528"/>
      <c r="B13" s="83"/>
      <c r="C13" s="83"/>
      <c r="D13" s="83"/>
      <c r="E13" s="83"/>
      <c r="F13" s="83"/>
      <c r="G13" s="80"/>
      <c r="H13" s="81"/>
      <c r="I13" s="82"/>
      <c r="J13" s="83"/>
      <c r="K13" s="83"/>
      <c r="L13" s="84"/>
      <c r="M13" s="85"/>
      <c r="N13" s="86"/>
      <c r="O13" s="87"/>
      <c r="P13" s="83"/>
      <c r="Q13" s="475"/>
      <c r="R13" s="522"/>
      <c r="S13" s="375" t="s">
        <v>119</v>
      </c>
      <c r="T13" s="375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373"/>
      <c r="AK13" s="373"/>
      <c r="AL13" s="79"/>
      <c r="AM13" s="369"/>
      <c r="AN13" s="79"/>
      <c r="AO13" s="373"/>
      <c r="AP13" s="272"/>
      <c r="AQ13" s="27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2"/>
      <c r="BB13" s="292"/>
      <c r="BC13" s="292"/>
      <c r="BD13" s="292"/>
      <c r="BE13" s="292"/>
      <c r="BF13" s="292"/>
      <c r="BG13" s="292"/>
      <c r="BH13" s="292"/>
      <c r="BI13" s="292"/>
      <c r="BJ13" s="292"/>
    </row>
    <row r="14" spans="1:66" ht="43" customHeight="1">
      <c r="A14" s="528"/>
      <c r="B14" s="479" t="str">
        <f>AD20</f>
        <v>Display units for                   ALL charts</v>
      </c>
      <c r="C14" s="480"/>
      <c r="D14" s="233" t="str">
        <f>AC20</f>
        <v>Today's swim</v>
      </c>
      <c r="E14" s="83"/>
      <c r="F14" s="83"/>
      <c r="G14" s="80"/>
      <c r="H14" s="81"/>
      <c r="I14" s="82"/>
      <c r="J14" s="83"/>
      <c r="K14" s="83"/>
      <c r="L14" s="84"/>
      <c r="M14" s="85"/>
      <c r="N14" s="86"/>
      <c r="O14" s="87"/>
      <c r="P14" s="83"/>
      <c r="Q14" s="218">
        <v>5</v>
      </c>
      <c r="R14" s="522"/>
      <c r="S14" s="182" t="s">
        <v>187</v>
      </c>
      <c r="T14" s="182" t="s">
        <v>251</v>
      </c>
      <c r="U14" s="170" t="s">
        <v>444</v>
      </c>
      <c r="V14" s="170" t="s">
        <v>33</v>
      </c>
      <c r="W14" s="170" t="s">
        <v>193</v>
      </c>
      <c r="X14" s="170" t="s">
        <v>200</v>
      </c>
      <c r="Y14" s="170" t="s">
        <v>206</v>
      </c>
      <c r="Z14" s="170" t="s">
        <v>213</v>
      </c>
      <c r="AA14" s="170" t="s">
        <v>220</v>
      </c>
      <c r="AB14" s="170" t="s">
        <v>448</v>
      </c>
      <c r="AC14" s="170" t="s">
        <v>454</v>
      </c>
      <c r="AD14" s="170" t="s">
        <v>455</v>
      </c>
      <c r="AE14" s="170" t="s">
        <v>414</v>
      </c>
      <c r="AF14" s="170" t="s">
        <v>236</v>
      </c>
      <c r="AG14" s="170" t="s">
        <v>248</v>
      </c>
      <c r="AH14" s="170" t="s">
        <v>341</v>
      </c>
      <c r="AI14" s="170" t="s">
        <v>421</v>
      </c>
      <c r="AJ14" s="373" t="s">
        <v>347</v>
      </c>
      <c r="AK14" s="373" t="s">
        <v>347</v>
      </c>
      <c r="AL14" s="79" t="s">
        <v>353</v>
      </c>
      <c r="AM14" s="369" t="s">
        <v>452</v>
      </c>
      <c r="AN14" s="79"/>
      <c r="AO14" s="373" t="s">
        <v>347</v>
      </c>
      <c r="AP14" s="272"/>
      <c r="AQ14" s="272"/>
      <c r="AR14" s="292"/>
      <c r="AS14" s="292"/>
      <c r="AT14" s="292"/>
      <c r="AU14" s="292"/>
      <c r="AV14" s="292"/>
      <c r="AW14" s="292"/>
      <c r="AX14" s="292"/>
      <c r="AY14" s="292"/>
      <c r="AZ14" s="292"/>
      <c r="BA14" s="292"/>
      <c r="BB14" s="292"/>
      <c r="BC14" s="292"/>
      <c r="BD14" s="292"/>
      <c r="BE14" s="292"/>
      <c r="BF14" s="292"/>
      <c r="BG14" s="292"/>
      <c r="BH14" s="292"/>
      <c r="BI14" s="292"/>
      <c r="BJ14" s="292"/>
    </row>
    <row r="15" spans="1:66" ht="43" customHeight="1" thickBot="1">
      <c r="A15" s="528"/>
      <c r="B15" s="481" t="s">
        <v>357</v>
      </c>
      <c r="C15" s="482"/>
      <c r="D15" s="234">
        <f ca="1">0.000568181818*1.0936133*D17</f>
        <v>0</v>
      </c>
      <c r="E15" s="83"/>
      <c r="F15" s="83"/>
      <c r="G15" s="80"/>
      <c r="H15" s="81"/>
      <c r="I15" s="82"/>
      <c r="J15" s="83"/>
      <c r="K15" s="83"/>
      <c r="L15" s="84"/>
      <c r="M15" s="85"/>
      <c r="N15" s="86"/>
      <c r="O15" s="87"/>
      <c r="P15" s="83"/>
      <c r="Q15" s="218">
        <v>6</v>
      </c>
      <c r="R15" s="522"/>
      <c r="S15" s="182" t="s">
        <v>186</v>
      </c>
      <c r="T15" s="182" t="s">
        <v>42</v>
      </c>
      <c r="U15" s="170" t="s">
        <v>445</v>
      </c>
      <c r="V15" s="170" t="s">
        <v>253</v>
      </c>
      <c r="W15" s="170" t="s">
        <v>194</v>
      </c>
      <c r="X15" s="170" t="s">
        <v>199</v>
      </c>
      <c r="Y15" s="170" t="s">
        <v>207</v>
      </c>
      <c r="Z15" s="170" t="s">
        <v>212</v>
      </c>
      <c r="AA15" s="170" t="s">
        <v>221</v>
      </c>
      <c r="AB15" s="170" t="s">
        <v>229</v>
      </c>
      <c r="AC15" s="170" t="s">
        <v>263</v>
      </c>
      <c r="AD15" s="170" t="s">
        <v>269</v>
      </c>
      <c r="AE15" s="170" t="s">
        <v>415</v>
      </c>
      <c r="AF15" s="170" t="s">
        <v>239</v>
      </c>
      <c r="AG15" s="170" t="s">
        <v>243</v>
      </c>
      <c r="AH15" s="170" t="s">
        <v>420</v>
      </c>
      <c r="AI15" s="170" t="s">
        <v>364</v>
      </c>
      <c r="AJ15" s="373" t="s">
        <v>346</v>
      </c>
      <c r="AK15" s="373" t="s">
        <v>346</v>
      </c>
      <c r="AL15" s="79" t="s">
        <v>350</v>
      </c>
      <c r="AM15" s="369" t="s">
        <v>429</v>
      </c>
      <c r="AN15" s="79"/>
      <c r="AO15" s="373" t="s">
        <v>346</v>
      </c>
      <c r="AP15" s="272"/>
      <c r="AQ15" s="272"/>
      <c r="AR15" s="292"/>
      <c r="AS15" s="292"/>
      <c r="AT15" s="292"/>
      <c r="AU15" s="292"/>
      <c r="AV15" s="292"/>
      <c r="AW15" s="292"/>
      <c r="AX15" s="292"/>
      <c r="AY15" s="292"/>
      <c r="AZ15" s="292"/>
      <c r="BA15" s="292"/>
      <c r="BB15" s="292"/>
      <c r="BC15" s="292"/>
      <c r="BD15" s="292"/>
      <c r="BE15" s="292"/>
      <c r="BF15" s="292"/>
      <c r="BG15" s="292"/>
      <c r="BH15" s="292"/>
      <c r="BI15" s="292"/>
      <c r="BJ15" s="292"/>
    </row>
    <row r="16" spans="1:66" ht="35" customHeight="1" thickTop="1" thickBot="1">
      <c r="A16" s="230">
        <v>3</v>
      </c>
      <c r="B16" s="483" t="s">
        <v>358</v>
      </c>
      <c r="C16" s="484"/>
      <c r="D16" s="231">
        <f ca="1">D17*1.0936133</f>
        <v>0</v>
      </c>
      <c r="E16" s="83"/>
      <c r="F16" s="83"/>
      <c r="G16" s="80"/>
      <c r="H16" s="81"/>
      <c r="I16" s="82"/>
      <c r="J16" s="83"/>
      <c r="K16" s="88"/>
      <c r="L16" s="84"/>
      <c r="M16" s="85"/>
      <c r="N16" s="86"/>
      <c r="O16" s="87"/>
      <c r="P16" s="83"/>
      <c r="Q16" s="241">
        <v>7</v>
      </c>
      <c r="R16" s="522"/>
      <c r="S16" s="182" t="s">
        <v>185</v>
      </c>
      <c r="T16" s="182" t="s">
        <v>224</v>
      </c>
      <c r="U16" s="170" t="s">
        <v>190</v>
      </c>
      <c r="V16" s="170" t="s">
        <v>192</v>
      </c>
      <c r="W16" s="170" t="s">
        <v>195</v>
      </c>
      <c r="X16" s="170" t="s">
        <v>198</v>
      </c>
      <c r="Y16" s="170" t="s">
        <v>208</v>
      </c>
      <c r="Z16" s="170" t="s">
        <v>211</v>
      </c>
      <c r="AA16" s="170" t="s">
        <v>222</v>
      </c>
      <c r="AB16" s="170" t="s">
        <v>231</v>
      </c>
      <c r="AC16" s="376" t="s">
        <v>264</v>
      </c>
      <c r="AD16" s="170" t="s">
        <v>233</v>
      </c>
      <c r="AE16" s="170" t="s">
        <v>416</v>
      </c>
      <c r="AF16" s="170" t="s">
        <v>240</v>
      </c>
      <c r="AG16" s="170" t="s">
        <v>244</v>
      </c>
      <c r="AH16" s="170" t="s">
        <v>457</v>
      </c>
      <c r="AI16" s="170" t="s">
        <v>342</v>
      </c>
      <c r="AJ16" s="373" t="s">
        <v>345</v>
      </c>
      <c r="AK16" s="373" t="s">
        <v>345</v>
      </c>
      <c r="AL16" s="79" t="s">
        <v>354</v>
      </c>
      <c r="AM16" s="369" t="s">
        <v>418</v>
      </c>
      <c r="AN16" s="79"/>
      <c r="AO16" s="373" t="s">
        <v>345</v>
      </c>
      <c r="AP16" s="272"/>
      <c r="AQ16" s="272"/>
      <c r="AR16" s="292"/>
      <c r="AS16" s="292"/>
      <c r="AT16" s="292"/>
      <c r="AU16" s="292"/>
      <c r="AV16" s="292"/>
      <c r="AW16" s="292"/>
      <c r="AX16" s="292"/>
      <c r="AY16" s="292"/>
      <c r="AZ16" s="292"/>
      <c r="BA16" s="292"/>
      <c r="BB16" s="292"/>
      <c r="BC16" s="292"/>
      <c r="BD16" s="292"/>
      <c r="BE16" s="292"/>
      <c r="BF16" s="292"/>
      <c r="BG16" s="292"/>
      <c r="BH16" s="292"/>
      <c r="BI16" s="292"/>
      <c r="BJ16" s="292"/>
    </row>
    <row r="17" spans="1:71" ht="35" customHeight="1" thickTop="1" thickBot="1">
      <c r="A17" s="533"/>
      <c r="B17" s="477" t="s">
        <v>359</v>
      </c>
      <c r="C17" s="478"/>
      <c r="D17" s="232">
        <f ca="1">MAX(U32:U43)*1000</f>
        <v>0</v>
      </c>
      <c r="E17" s="83"/>
      <c r="F17" s="83"/>
      <c r="G17" s="80"/>
      <c r="H17" s="81"/>
      <c r="I17" s="82"/>
      <c r="J17" s="83"/>
      <c r="K17" s="88"/>
      <c r="L17" s="84"/>
      <c r="M17" s="85"/>
      <c r="N17" s="86"/>
      <c r="O17" s="87"/>
      <c r="P17" s="83"/>
      <c r="Q17" s="218">
        <v>8</v>
      </c>
      <c r="R17" s="522"/>
      <c r="S17" s="182" t="s">
        <v>184</v>
      </c>
      <c r="T17" s="377" t="s">
        <v>228</v>
      </c>
      <c r="U17" s="378" t="s">
        <v>489</v>
      </c>
      <c r="V17" s="170" t="s">
        <v>191</v>
      </c>
      <c r="W17" s="170" t="s">
        <v>196</v>
      </c>
      <c r="X17" s="170" t="s">
        <v>197</v>
      </c>
      <c r="Y17" s="170" t="s">
        <v>209</v>
      </c>
      <c r="Z17" s="170" t="s">
        <v>210</v>
      </c>
      <c r="AA17" s="170" t="s">
        <v>223</v>
      </c>
      <c r="AB17" s="379" t="s">
        <v>232</v>
      </c>
      <c r="AC17" s="170" t="s">
        <v>265</v>
      </c>
      <c r="AD17" s="170" t="s">
        <v>234</v>
      </c>
      <c r="AE17" s="170" t="s">
        <v>462</v>
      </c>
      <c r="AF17" s="380" t="s">
        <v>241</v>
      </c>
      <c r="AG17" s="170" t="s">
        <v>242</v>
      </c>
      <c r="AH17" s="170" t="s">
        <v>339</v>
      </c>
      <c r="AI17" s="170" t="s">
        <v>340</v>
      </c>
      <c r="AJ17" s="373" t="s">
        <v>285</v>
      </c>
      <c r="AK17" s="373" t="s">
        <v>285</v>
      </c>
      <c r="AL17" s="79" t="s">
        <v>490</v>
      </c>
      <c r="AM17" s="369" t="s">
        <v>463</v>
      </c>
      <c r="AN17" s="79"/>
      <c r="AO17" s="373" t="s">
        <v>285</v>
      </c>
      <c r="AP17" s="272"/>
      <c r="AQ17" s="272"/>
      <c r="AR17" s="292"/>
      <c r="AS17" s="292"/>
      <c r="AT17" s="292"/>
      <c r="AU17" s="292"/>
      <c r="AV17" s="292"/>
      <c r="AW17" s="292"/>
      <c r="AX17" s="292"/>
      <c r="AY17" s="292"/>
      <c r="AZ17" s="292"/>
      <c r="BA17" s="292"/>
      <c r="BB17" s="292"/>
      <c r="BC17" s="292"/>
      <c r="BD17" s="292"/>
      <c r="BE17" s="292"/>
      <c r="BF17" s="292"/>
      <c r="BG17" s="292"/>
      <c r="BH17" s="292"/>
      <c r="BI17" s="292"/>
      <c r="BJ17" s="292"/>
    </row>
    <row r="18" spans="1:71" ht="35" customHeight="1">
      <c r="A18" s="528"/>
      <c r="B18" s="300"/>
      <c r="C18" s="306" t="str">
        <f ca="1">JAN!AD33</f>
        <v>My 4 year totals are:-</v>
      </c>
      <c r="D18" s="299"/>
      <c r="E18" s="83"/>
      <c r="F18" s="83"/>
      <c r="G18" s="80"/>
      <c r="H18" s="81"/>
      <c r="I18" s="82"/>
      <c r="J18" s="83"/>
      <c r="K18" s="88"/>
      <c r="L18" s="84"/>
      <c r="M18" s="85"/>
      <c r="N18" s="86"/>
      <c r="O18" s="87"/>
      <c r="P18" s="83"/>
      <c r="Q18" s="240">
        <v>9</v>
      </c>
      <c r="R18" s="522"/>
      <c r="S18" s="281" t="s">
        <v>381</v>
      </c>
      <c r="T18" s="281" t="s">
        <v>382</v>
      </c>
      <c r="U18" s="281" t="s">
        <v>383</v>
      </c>
      <c r="V18" s="281" t="s">
        <v>384</v>
      </c>
      <c r="W18" s="381" t="s">
        <v>386</v>
      </c>
      <c r="X18" s="381" t="s">
        <v>385</v>
      </c>
      <c r="Y18" s="281" t="s">
        <v>387</v>
      </c>
      <c r="Z18" s="281" t="s">
        <v>388</v>
      </c>
      <c r="AA18" s="281" t="s">
        <v>389</v>
      </c>
      <c r="AB18" s="379" t="s">
        <v>390</v>
      </c>
      <c r="AC18" s="281" t="s">
        <v>458</v>
      </c>
      <c r="AD18" s="170" t="s">
        <v>459</v>
      </c>
      <c r="AE18" s="170" t="s">
        <v>460</v>
      </c>
      <c r="AF18" s="170" t="s">
        <v>392</v>
      </c>
      <c r="AG18" s="170" t="s">
        <v>393</v>
      </c>
      <c r="AH18" s="170" t="s">
        <v>394</v>
      </c>
      <c r="AI18" s="170" t="s">
        <v>395</v>
      </c>
      <c r="AJ18" s="170" t="s">
        <v>396</v>
      </c>
      <c r="AK18" s="170" t="s">
        <v>396</v>
      </c>
      <c r="AL18" s="170" t="s">
        <v>397</v>
      </c>
      <c r="AM18" s="369" t="s">
        <v>461</v>
      </c>
      <c r="AN18" s="272"/>
      <c r="AO18" s="170" t="s">
        <v>396</v>
      </c>
      <c r="AP18" s="272"/>
      <c r="AQ18" s="272"/>
      <c r="AR18" s="292"/>
      <c r="AS18" s="292"/>
      <c r="AT18" s="292"/>
      <c r="AU18" s="292"/>
      <c r="AV18" s="292"/>
      <c r="AW18" s="292"/>
      <c r="AX18" s="292"/>
      <c r="AY18" s="292"/>
      <c r="AZ18" s="292"/>
      <c r="BA18" s="292"/>
      <c r="BB18" s="292"/>
      <c r="BC18" s="292"/>
      <c r="BD18" s="292"/>
      <c r="BE18" s="292"/>
      <c r="BF18" s="292"/>
      <c r="BG18" s="292"/>
      <c r="BH18" s="292"/>
      <c r="BI18" s="292"/>
      <c r="BJ18" s="292"/>
    </row>
    <row r="19" spans="1:71" ht="11.25" customHeight="1">
      <c r="A19" s="528"/>
      <c r="B19" s="307" t="s">
        <v>469</v>
      </c>
      <c r="C19" s="307" t="s">
        <v>468</v>
      </c>
      <c r="D19" s="307" t="s">
        <v>467</v>
      </c>
      <c r="E19" s="83"/>
      <c r="F19" s="83"/>
      <c r="G19" s="80"/>
      <c r="H19" s="81"/>
      <c r="I19" s="82"/>
      <c r="J19" s="83"/>
      <c r="K19" s="88"/>
      <c r="L19" s="84"/>
      <c r="M19" s="85"/>
      <c r="N19" s="86"/>
      <c r="O19" s="87"/>
      <c r="P19" s="83"/>
      <c r="Q19" s="218"/>
      <c r="R19" s="522"/>
      <c r="S19" s="182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373"/>
      <c r="AJ19" s="373"/>
      <c r="AK19" s="79"/>
      <c r="AL19" s="79"/>
      <c r="AM19" s="79"/>
      <c r="AN19" s="79"/>
      <c r="AO19" s="373"/>
      <c r="AP19" s="272"/>
      <c r="AQ19" s="272"/>
      <c r="AR19" s="292"/>
      <c r="AS19" s="292"/>
      <c r="AT19" s="292"/>
      <c r="AU19" s="292"/>
      <c r="AV19" s="292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2"/>
      <c r="BJ19" s="292"/>
    </row>
    <row r="20" spans="1:71" ht="35" customHeight="1" thickBot="1">
      <c r="A20" s="528"/>
      <c r="B20" s="305"/>
      <c r="C20" s="308" t="str">
        <f>JAN!AD35</f>
        <v>….. averages p.a.</v>
      </c>
      <c r="D20" s="88"/>
      <c r="E20" s="83"/>
      <c r="F20" s="83"/>
      <c r="G20" s="80"/>
      <c r="H20" s="81"/>
      <c r="I20" s="82"/>
      <c r="J20" s="83"/>
      <c r="K20" s="88"/>
      <c r="L20" s="84"/>
      <c r="M20" s="85"/>
      <c r="N20" s="86"/>
      <c r="O20" s="87"/>
      <c r="P20" s="83"/>
      <c r="Q20" s="242">
        <v>1</v>
      </c>
      <c r="R20" s="522"/>
      <c r="S20" s="170" t="str">
        <f>VLOOKUP($Q21,$Q8:$AP18,3)</f>
        <v>months</v>
      </c>
      <c r="T20" s="170" t="str">
        <f>VLOOKUP($Q21,$Q8:$AP18,4)</f>
        <v>Target</v>
      </c>
      <c r="U20" s="170" t="str">
        <f>VLOOKUP($Q21,$Q8:$AP18,5)</f>
        <v>Target    reset         zone</v>
      </c>
      <c r="V20" s="170" t="str">
        <f>VLOOKUP($Q21,$Q8:$AP18,6)</f>
        <v>Total</v>
      </c>
      <c r="W20" s="170" t="str">
        <f>VLOOKUP($Q21,$Q8:$AP18,7)</f>
        <v>speed</v>
      </c>
      <c r="X20" s="170" t="str">
        <f>VLOOKUP($Q21,$Q8:$AP18,8)</f>
        <v>time</v>
      </c>
      <c r="Y20" s="170" t="str">
        <f>VLOOKUP($Q21,$Q8:$AP18,9)</f>
        <v>in each venue</v>
      </c>
      <c r="Z20" s="170" t="str">
        <f>VLOOKUP($Q21,$Q8:$AP18,10)</f>
        <v>venue codes</v>
      </c>
      <c r="AA20" s="170" t="str">
        <f>VLOOKUP($Q21,$Q8:$AP18,11)</f>
        <v>total time</v>
      </c>
      <c r="AB20" s="170" t="str">
        <f>VLOOKUP($Q21,$Q8:$AP18,12)</f>
        <v xml:space="preserve">choose your own venue codes to use             on the data input sheets    :-        </v>
      </c>
      <c r="AC20" s="170" t="str">
        <f>VLOOKUP($Q21,$Q8:$AP18,13)</f>
        <v>Today's swim</v>
      </c>
      <c r="AD20" s="170" t="str">
        <f>VLOOKUP($Q21,$Q8:$AP18,14)</f>
        <v>Display units for                   ALL charts</v>
      </c>
      <c r="AE20" s="378" t="str">
        <f>VLOOKUP($Q21,$Q8:$AP18,15)</f>
        <v>swims not timed</v>
      </c>
      <c r="AF20" s="170" t="str">
        <f>VLOOKUP($Q21,$Q8:$AP18,16)</f>
        <v>Forecast</v>
      </c>
      <c r="AG20" s="170" t="str">
        <f>VLOOKUP($Q21,$Q8:$AP18,17)</f>
        <v>total wet time this year   : -   (dd:hh:mm)</v>
      </c>
      <c r="AH20" s="170" t="str">
        <f>VLOOKUP($Q21,$Q8:$AP18,18)</f>
        <v>To reach target :</v>
      </c>
      <c r="AI20" s="170" t="str">
        <f>VLOOKUP($Q21,$Q8:$AP18,19)</f>
        <v>Done so far:</v>
      </c>
      <c r="AJ20" s="170" t="str">
        <f>VLOOKUP($Q21,$Q8:$AP18,20)</f>
        <v>days gone</v>
      </c>
      <c r="AK20" s="170" t="str">
        <f>VLOOKUP($Q21,$Q8:$AP18,21)</f>
        <v>days to go</v>
      </c>
      <c r="AL20" s="170" t="str">
        <f>VLOOKUP($Q21,$Q8:$AP18,22)</f>
        <v xml:space="preserve"> .. day      .. week     .. month</v>
      </c>
      <c r="AM20" s="382" t="str">
        <f>VLOOKUP($Q21,$Q8:$AP18,23)</f>
        <v>Keep up with the 'swim line' to reach your target!</v>
      </c>
      <c r="AN20" s="170" t="str">
        <f>VLOOKUP($Q21,$Q8:$AP18,24)</f>
        <v>too early</v>
      </c>
      <c r="AO20" s="170" t="str">
        <f>VLOOKUP($Q21,$Q8:$AP18,25)</f>
        <v>wet days</v>
      </c>
      <c r="AP20" s="170">
        <f>VLOOKUP($Q21,$Q8:$AP18,26)</f>
        <v>0</v>
      </c>
      <c r="AQ20" s="383"/>
      <c r="AR20" s="293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2"/>
      <c r="BI20" s="292"/>
      <c r="BJ20" s="292"/>
    </row>
    <row r="21" spans="1:71" ht="35" customHeight="1" thickTop="1" thickBot="1">
      <c r="A21" s="528"/>
      <c r="B21" s="83"/>
      <c r="C21" s="83"/>
      <c r="D21" s="83"/>
      <c r="E21" s="83"/>
      <c r="F21" s="83"/>
      <c r="G21" s="80"/>
      <c r="H21" s="81"/>
      <c r="I21" s="82"/>
      <c r="J21" s="83"/>
      <c r="K21" s="88"/>
      <c r="L21" s="84"/>
      <c r="M21" s="85"/>
      <c r="N21" s="86"/>
      <c r="O21" s="87"/>
      <c r="P21" s="178"/>
      <c r="Q21" s="217">
        <v>1</v>
      </c>
      <c r="R21" s="522"/>
      <c r="S21" s="384"/>
      <c r="T21" s="384"/>
      <c r="U21" s="384"/>
      <c r="V21" s="384"/>
      <c r="W21" s="182"/>
      <c r="X21" s="182"/>
      <c r="Y21" s="182"/>
      <c r="Z21" s="373"/>
      <c r="AA21" s="373"/>
      <c r="AB21" s="373"/>
      <c r="AC21" s="373"/>
      <c r="AD21" s="373"/>
      <c r="AE21" s="373"/>
      <c r="AF21" s="373"/>
      <c r="AG21" s="373"/>
      <c r="AH21" s="373"/>
      <c r="AI21" s="373"/>
      <c r="AJ21" s="373"/>
      <c r="AK21" s="79"/>
      <c r="AL21" s="79"/>
      <c r="AM21" s="79"/>
      <c r="AN21" s="272"/>
      <c r="AO21" s="272"/>
      <c r="AP21" s="272"/>
      <c r="AQ21" s="272"/>
      <c r="AR21" s="292"/>
      <c r="AS21" s="292"/>
      <c r="AT21" s="292"/>
      <c r="AU21" s="292"/>
      <c r="AV21" s="292"/>
      <c r="AW21" s="292"/>
      <c r="AX21" s="292"/>
      <c r="AY21" s="292"/>
      <c r="AZ21" s="292"/>
      <c r="BA21" s="292"/>
      <c r="BB21" s="292"/>
      <c r="BC21" s="292"/>
      <c r="BD21" s="292"/>
      <c r="BE21" s="292"/>
      <c r="BF21" s="292"/>
      <c r="BG21" s="292"/>
      <c r="BH21" s="292"/>
      <c r="BI21" s="292"/>
      <c r="BJ21" s="292"/>
    </row>
    <row r="22" spans="1:71" ht="35" customHeight="1" thickBot="1">
      <c r="A22" s="528"/>
      <c r="B22" s="83"/>
      <c r="C22" s="83"/>
      <c r="D22" s="83"/>
      <c r="E22" s="83"/>
      <c r="F22" s="448">
        <f ca="1">D48+1-D50</f>
        <v>0</v>
      </c>
      <c r="G22" s="449"/>
      <c r="H22" s="235" t="str">
        <f ca="1">IF(F22&lt;7,"","sensible target?")</f>
        <v/>
      </c>
      <c r="I22" s="453" t="str">
        <f>AH20</f>
        <v>To reach target :</v>
      </c>
      <c r="J22" s="454"/>
      <c r="K22" s="452">
        <f ca="1">IF((M43-H43)&gt;0,(M43-H43),"Target met")</f>
        <v>410382.71950754075</v>
      </c>
      <c r="L22" s="452"/>
      <c r="M22" s="222">
        <f ca="1">IF((M43-H43)&lt;=0," &gt; &gt; &gt;",IF(TODAY()&gt;(D44-1)," &gt; &gt; &gt;",(M43-H43)/(F44-F22+1)))</f>
        <v>1118.2090449796751</v>
      </c>
      <c r="N22" s="223">
        <f ca="1">IF((M43-H43)&lt;=0,"WELL",IF(TODAY()&gt;(D44-1),"BAD",IF(F22&gt;358,"N/A",IF((M43-H43)&gt;0,(M22*7)))))</f>
        <v>7827.4633148577259</v>
      </c>
      <c r="O22" s="224">
        <f ca="1">IF((M43-H43)&lt;=0,"DONE",IF(TODAY()&gt;(D44-1),"LUCK",IF(F22&gt;334,"N/A",IF((M43-H43)&gt;0,(M22*30)))))</f>
        <v>33546.271349390256</v>
      </c>
      <c r="P22" s="444">
        <f ca="1">IF(TODAY()&gt;=D44,"times up!",IF((F44-F22)=0,"last day",IF((F44-F22)&gt;F44,F44,(F44-F22))))</f>
        <v>366</v>
      </c>
      <c r="Q22" s="445"/>
      <c r="R22" s="523"/>
      <c r="S22" s="295"/>
      <c r="T22" s="297"/>
      <c r="U22" s="295"/>
      <c r="V22" s="295"/>
      <c r="W22" s="295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  <c r="AL22" s="291"/>
      <c r="AM22" s="291"/>
      <c r="AN22" s="292"/>
      <c r="AO22" s="292"/>
      <c r="AP22" s="292"/>
      <c r="AQ22" s="292"/>
      <c r="AR22" s="292"/>
      <c r="AS22" s="292"/>
      <c r="AT22" s="292"/>
      <c r="AU22" s="292"/>
      <c r="AV22" s="292"/>
      <c r="AW22" s="292"/>
      <c r="AX22" s="292"/>
      <c r="AY22" s="292"/>
      <c r="AZ22" s="292"/>
      <c r="BA22" s="292"/>
      <c r="BB22" s="292"/>
      <c r="BC22" s="292"/>
      <c r="BD22" s="292"/>
      <c r="BE22" s="292"/>
      <c r="BF22" s="292"/>
      <c r="BG22" s="292"/>
      <c r="BH22" s="292"/>
      <c r="BI22" s="292"/>
      <c r="BJ22" s="292"/>
    </row>
    <row r="23" spans="1:71" ht="35" customHeight="1" thickBot="1">
      <c r="A23" s="528"/>
      <c r="B23" s="87"/>
      <c r="C23" s="87"/>
      <c r="D23" s="83"/>
      <c r="E23" s="83"/>
      <c r="F23" s="450"/>
      <c r="G23" s="451"/>
      <c r="H23" s="455">
        <f>M43</f>
        <v>410382.71950754075</v>
      </c>
      <c r="I23" s="456"/>
      <c r="J23" s="225" t="str">
        <f>AF20</f>
        <v>Forecast</v>
      </c>
      <c r="K23" s="460">
        <f ca="1">M24*F44</f>
        <v>0</v>
      </c>
      <c r="L23" s="461"/>
      <c r="M23" s="441" t="str">
        <f>AL20</f>
        <v xml:space="preserve"> .. day      .. week     .. month</v>
      </c>
      <c r="N23" s="442"/>
      <c r="O23" s="443"/>
      <c r="P23" s="446"/>
      <c r="Q23" s="447"/>
      <c r="R23" s="524"/>
      <c r="S23" s="292"/>
      <c r="T23" s="296"/>
      <c r="U23" s="290"/>
      <c r="V23" s="290"/>
      <c r="W23" s="295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</row>
    <row r="24" spans="1:71" ht="35" customHeight="1" thickBot="1">
      <c r="A24" s="528"/>
      <c r="B24" s="192"/>
      <c r="C24" s="192"/>
      <c r="D24" s="83"/>
      <c r="E24" s="83"/>
      <c r="F24" s="462" t="str">
        <f ca="1">IF(Q21&gt;1,AJ20,IF(F22=-1,"day still to go",IF(F22&lt;0,"days to wait",IF(F22=0,"wait…    :)",IF(F22&lt;4,"get going… :)","days gone")))))</f>
        <v>wait…    :)</v>
      </c>
      <c r="G24" s="463"/>
      <c r="H24" s="227" t="str">
        <f ca="1">IF(F22&lt;7,"",IF(K23&lt;M43*0.9,"NO",IF(K23&gt;M43*1.15,"NO","YES")))</f>
        <v/>
      </c>
      <c r="I24" s="457" t="str">
        <f>AI20</f>
        <v>Done so far:</v>
      </c>
      <c r="J24" s="458"/>
      <c r="K24" s="459">
        <f ca="1">H44</f>
        <v>-1.24E-53</v>
      </c>
      <c r="L24" s="459"/>
      <c r="M24" s="220">
        <f ca="1">IF(F22&lt;=0,0,IF(F22&gt;F44-1,H44/F44,H44/F22))</f>
        <v>0</v>
      </c>
      <c r="N24" s="221">
        <f ca="1">M24*F44/52</f>
        <v>0</v>
      </c>
      <c r="O24" s="226">
        <f ca="1">M24*F44/12</f>
        <v>0</v>
      </c>
      <c r="P24" s="439" t="str">
        <f ca="1">IF(Q21&gt;1,AK20,IF(TODAY()&gt;(D44-2),"","days to go"))</f>
        <v>days to go</v>
      </c>
      <c r="Q24" s="440"/>
      <c r="R24" s="521"/>
      <c r="S24" s="292"/>
      <c r="T24" s="292"/>
      <c r="U24" s="292"/>
      <c r="V24" s="292"/>
      <c r="W24" s="296"/>
      <c r="X24" s="296"/>
      <c r="Y24" s="298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292"/>
      <c r="BA24" s="292"/>
      <c r="BB24" s="292"/>
      <c r="BC24" s="292"/>
      <c r="BD24" s="292"/>
      <c r="BE24" s="292"/>
      <c r="BF24" s="292"/>
      <c r="BG24" s="292"/>
      <c r="BH24" s="292"/>
      <c r="BI24" s="292"/>
      <c r="BJ24" s="292"/>
    </row>
    <row r="25" spans="1:71" ht="9" customHeight="1" thickBot="1">
      <c r="A25" s="516"/>
      <c r="B25" s="517"/>
      <c r="C25" s="517"/>
      <c r="D25" s="517"/>
      <c r="E25" s="517"/>
      <c r="F25" s="517"/>
      <c r="G25" s="518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9"/>
      <c r="W25" s="9"/>
      <c r="X25" s="9"/>
    </row>
    <row r="26" spans="1:71" ht="24" customHeight="1">
      <c r="A26" s="76"/>
      <c r="B26" s="76"/>
      <c r="C26" s="76"/>
      <c r="D26" s="76"/>
      <c r="E26" s="76"/>
      <c r="F26" s="76"/>
      <c r="G26" s="77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7"/>
      <c r="T26" s="77"/>
      <c r="U26" s="77"/>
      <c r="V26" s="77"/>
      <c r="W26" s="78"/>
      <c r="X26" s="78"/>
      <c r="Y26" s="76"/>
      <c r="Z26" s="76"/>
      <c r="AA26" s="76"/>
      <c r="AB26" s="76"/>
      <c r="AC26" s="76"/>
      <c r="AD26" s="76"/>
      <c r="AE26" s="76"/>
    </row>
    <row r="27" spans="1:71" ht="54" customHeight="1">
      <c r="A27" s="76"/>
      <c r="B27" s="202"/>
      <c r="C27" s="76"/>
      <c r="D27" s="76"/>
      <c r="E27" s="76"/>
      <c r="G27" s="214"/>
      <c r="R27" s="77"/>
      <c r="S27" s="77"/>
      <c r="T27" s="77"/>
      <c r="U27" s="77"/>
      <c r="V27" s="77"/>
      <c r="W27" s="78"/>
      <c r="X27" s="78"/>
      <c r="Y27" s="76"/>
      <c r="Z27" s="76"/>
      <c r="AA27" s="76"/>
      <c r="AB27" s="76"/>
      <c r="AC27" s="76"/>
      <c r="AD27" s="76"/>
      <c r="AE27" s="76"/>
    </row>
    <row r="28" spans="1:71" ht="36" customHeight="1">
      <c r="A28" s="76"/>
      <c r="B28" s="284"/>
      <c r="C28" s="79"/>
      <c r="D28" s="79"/>
      <c r="E28" s="79"/>
      <c r="F28" s="385"/>
      <c r="G28" s="386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95"/>
      <c r="S28" s="95"/>
      <c r="T28" s="95"/>
      <c r="U28" s="95"/>
      <c r="V28" s="95"/>
      <c r="W28" s="182"/>
      <c r="X28" s="182"/>
      <c r="Y28" s="79"/>
      <c r="Z28" s="79"/>
      <c r="AA28" s="79"/>
      <c r="AB28" s="79"/>
      <c r="AC28" s="79"/>
      <c r="AD28" s="79"/>
      <c r="AE28" s="79"/>
      <c r="AF28" s="95">
        <f>COUNTIF($AF29:$AJ29,"&lt;="&amp;AF29)</f>
        <v>4</v>
      </c>
      <c r="AG28" s="95">
        <f>COUNTIF($AF29:$AJ29,"&lt;="&amp;AG29)</f>
        <v>5</v>
      </c>
      <c r="AH28" s="95">
        <f>COUNTIF($AF29:$AJ29,"&lt;="&amp;AH29)</f>
        <v>2</v>
      </c>
      <c r="AI28" s="95">
        <f>COUNTIF($AF29:$AJ29,"&lt;="&amp;AI29)</f>
        <v>3</v>
      </c>
      <c r="AJ28" s="95">
        <f>COUNTIF($AF29:$AJ29,"&lt;="&amp;AJ29)</f>
        <v>1</v>
      </c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284"/>
      <c r="BS28" s="272"/>
    </row>
    <row r="29" spans="1:71" ht="29">
      <c r="A29" s="76"/>
      <c r="B29" s="79"/>
      <c r="C29" s="79"/>
      <c r="D29" s="79"/>
      <c r="E29" s="79"/>
      <c r="F29" s="79"/>
      <c r="G29" s="387"/>
      <c r="H29" s="388"/>
      <c r="I29" s="389"/>
      <c r="J29" s="79"/>
      <c r="K29" s="390"/>
      <c r="L29" s="391"/>
      <c r="M29" s="392"/>
      <c r="N29" s="95"/>
      <c r="O29" s="167"/>
      <c r="P29" s="167"/>
      <c r="Q29" s="167"/>
      <c r="R29" s="393"/>
      <c r="S29" s="384"/>
      <c r="T29" s="384"/>
      <c r="U29" s="384"/>
      <c r="V29" s="384"/>
      <c r="W29" s="182"/>
      <c r="X29" s="182"/>
      <c r="Y29" s="79"/>
      <c r="Z29" s="79"/>
      <c r="AA29" s="79"/>
      <c r="AB29" s="79"/>
      <c r="AC29" s="79"/>
      <c r="AD29" s="79"/>
      <c r="AE29" s="79"/>
      <c r="AF29" s="95" t="str">
        <f>IF(I2="","z",I2)</f>
        <v>z</v>
      </c>
      <c r="AG29" s="95" t="str">
        <f>IF(J2="","zz",IF(COUNTIF($AE$29:AF29,J2)=1,"zz",J2))</f>
        <v>zz</v>
      </c>
      <c r="AH29" s="95" t="str">
        <f>IF(K2="","zzz",IF(COUNTIF($AE$29:AG29,K2)=1,"zzz",K2))</f>
        <v>pool1</v>
      </c>
      <c r="AI29" s="95" t="str">
        <f>IF(L2="","zzzz",IF(COUNTIF($AE$29:AH29,L2)=1,"zzzz",L2))</f>
        <v>pool2</v>
      </c>
      <c r="AJ29" s="95" t="str">
        <f>IF(M2="","zzzzz",IF(COUNTIF($AE$29:AI29,M2)=1,"zzzzz",M2))</f>
        <v>OW</v>
      </c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272"/>
    </row>
    <row r="30" spans="1:71" ht="90.75" customHeight="1">
      <c r="A30" s="76"/>
      <c r="B30" s="394"/>
      <c r="C30" s="395" t="s">
        <v>44</v>
      </c>
      <c r="D30" s="382" t="s">
        <v>45</v>
      </c>
      <c r="E30" s="396">
        <v>2014</v>
      </c>
      <c r="F30" s="168" t="s">
        <v>16</v>
      </c>
      <c r="G30" s="388" t="s">
        <v>20</v>
      </c>
      <c r="H30" s="388" t="s">
        <v>43</v>
      </c>
      <c r="I30" s="388" t="s">
        <v>46</v>
      </c>
      <c r="J30" s="388"/>
      <c r="K30" s="388" t="s">
        <v>15</v>
      </c>
      <c r="L30" s="388" t="s">
        <v>15</v>
      </c>
      <c r="M30" s="388" t="s">
        <v>18</v>
      </c>
      <c r="N30" s="388" t="s">
        <v>35</v>
      </c>
      <c r="O30" s="388" t="s">
        <v>34</v>
      </c>
      <c r="P30" s="388" t="s">
        <v>36</v>
      </c>
      <c r="Q30" s="388" t="s">
        <v>37</v>
      </c>
      <c r="R30" s="388" t="s">
        <v>38</v>
      </c>
      <c r="S30" s="388" t="s">
        <v>39</v>
      </c>
      <c r="T30" s="388"/>
      <c r="U30" s="388"/>
      <c r="V30" s="397"/>
      <c r="W30" s="169" t="s">
        <v>59</v>
      </c>
      <c r="X30" s="95"/>
      <c r="Y30" s="169" t="s">
        <v>58</v>
      </c>
      <c r="Z30" s="79"/>
      <c r="AA30" s="79"/>
      <c r="AB30" s="79"/>
      <c r="AC30" s="398"/>
      <c r="AD30" s="79"/>
      <c r="AE30" s="79"/>
      <c r="AF30" s="95">
        <v>1</v>
      </c>
      <c r="AG30" s="95">
        <v>2</v>
      </c>
      <c r="AH30" s="95">
        <v>3</v>
      </c>
      <c r="AI30" s="95">
        <v>4</v>
      </c>
      <c r="AJ30" s="95">
        <v>5</v>
      </c>
      <c r="AK30" s="79"/>
      <c r="AL30" s="79"/>
      <c r="AM30" s="95">
        <v>1</v>
      </c>
      <c r="AN30" s="95">
        <v>2</v>
      </c>
      <c r="AO30" s="95">
        <v>3</v>
      </c>
      <c r="AP30" s="95">
        <v>4</v>
      </c>
      <c r="AQ30" s="95">
        <v>5</v>
      </c>
      <c r="AR30" s="79"/>
      <c r="AS30" s="95">
        <v>1</v>
      </c>
      <c r="AT30" s="95">
        <v>2</v>
      </c>
      <c r="AU30" s="95">
        <v>3</v>
      </c>
      <c r="AV30" s="95">
        <v>4</v>
      </c>
      <c r="AW30" s="95">
        <v>5</v>
      </c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399">
        <v>1</v>
      </c>
      <c r="BK30" s="399">
        <v>2</v>
      </c>
      <c r="BL30" s="399">
        <v>3</v>
      </c>
      <c r="BM30" s="399">
        <v>4</v>
      </c>
      <c r="BN30" s="399">
        <v>5</v>
      </c>
      <c r="BO30" s="399">
        <v>6</v>
      </c>
      <c r="BP30" s="399">
        <v>7</v>
      </c>
      <c r="BQ30" s="399">
        <v>8</v>
      </c>
      <c r="BR30" s="399">
        <v>9</v>
      </c>
      <c r="BS30" s="272"/>
    </row>
    <row r="31" spans="1:71" ht="100">
      <c r="A31" s="76"/>
      <c r="B31" s="79">
        <v>0</v>
      </c>
      <c r="C31" s="79"/>
      <c r="D31" s="400">
        <f ca="1">TODAY()</f>
        <v>45291</v>
      </c>
      <c r="E31" s="401"/>
      <c r="F31" s="168">
        <v>0</v>
      </c>
      <c r="G31" s="388" t="s">
        <v>57</v>
      </c>
      <c r="H31" s="388">
        <v>0</v>
      </c>
      <c r="I31" s="388">
        <v>0</v>
      </c>
      <c r="J31" s="388">
        <v>0</v>
      </c>
      <c r="K31" s="388">
        <v>0</v>
      </c>
      <c r="L31" s="388" t="str">
        <f>T20</f>
        <v>Target</v>
      </c>
      <c r="M31" s="388" t="s">
        <v>40</v>
      </c>
      <c r="N31" s="388" t="s">
        <v>8</v>
      </c>
      <c r="O31" s="388" t="s">
        <v>9</v>
      </c>
      <c r="P31" s="388" t="s">
        <v>10</v>
      </c>
      <c r="Q31" s="388" t="s">
        <v>11</v>
      </c>
      <c r="R31" s="388" t="s">
        <v>12</v>
      </c>
      <c r="S31" s="388" t="s">
        <v>17</v>
      </c>
      <c r="T31" s="388" t="s">
        <v>68</v>
      </c>
      <c r="U31" s="388" t="s">
        <v>69</v>
      </c>
      <c r="V31" s="388"/>
      <c r="W31" s="170" t="s">
        <v>54</v>
      </c>
      <c r="X31" s="170" t="s">
        <v>53</v>
      </c>
      <c r="Y31" s="170" t="s">
        <v>55</v>
      </c>
      <c r="Z31" s="170" t="s">
        <v>56</v>
      </c>
      <c r="AA31" s="170" t="s">
        <v>60</v>
      </c>
      <c r="AB31" s="170" t="s">
        <v>61</v>
      </c>
      <c r="AC31" s="79"/>
      <c r="AD31" s="170" t="s">
        <v>62</v>
      </c>
      <c r="AE31" s="79"/>
      <c r="AF31" s="167" t="str">
        <f>IF(HLOOKUP(AF30,$AF28:$AJ29,2,FALSE)="z*","",HLOOKUP(AF30,$AF28:$AJ29,2,FALSE))</f>
        <v>OW</v>
      </c>
      <c r="AG31" s="167" t="str">
        <f>IF(HLOOKUP(AG30,$AF28:$AJ29,2,FALSE)="z*","",HLOOKUP(AG30,$AF28:$AJ29,2,FALSE))</f>
        <v>pool1</v>
      </c>
      <c r="AH31" s="167" t="str">
        <f>IF(HLOOKUP(AH30,$AF28:$AJ29,2,FALSE)="z*","",HLOOKUP(AH30,$AF28:$AJ29,2,FALSE))</f>
        <v>pool2</v>
      </c>
      <c r="AI31" s="167" t="str">
        <f>IF(HLOOKUP(AI30,$AF28:$AJ29,2,FALSE)="z*","",HLOOKUP(AI30,$AF28:$AJ29,2,FALSE))</f>
        <v>z</v>
      </c>
      <c r="AJ31" s="167" t="str">
        <f>IF(HLOOKUP(AJ30,$AF28:$AJ29,2,FALSE)="z*","",HLOOKUP(AJ30,$AF28:$AJ29,2,FALSE))</f>
        <v>zz</v>
      </c>
      <c r="AK31" s="170" t="s">
        <v>91</v>
      </c>
      <c r="AL31" s="170" t="s">
        <v>110</v>
      </c>
      <c r="AM31" s="167" t="str">
        <f>IF(HLOOKUP(AM30,$AF28:$AJ29,2,FALSE)="z*","",HLOOKUP(AM30,$AF28:$AJ29,2,FALSE))</f>
        <v>OW</v>
      </c>
      <c r="AN31" s="167" t="str">
        <f>IF(HLOOKUP(AN30,$AF28:$AJ29,2,FALSE)="z*","",HLOOKUP(AN30,$AF28:$AJ29,2,FALSE))</f>
        <v>pool1</v>
      </c>
      <c r="AO31" s="167" t="str">
        <f>IF(HLOOKUP(AO30,$AF28:$AJ29,2,FALSE)="z*","",HLOOKUP(AO30,$AF28:$AJ29,2,FALSE))</f>
        <v>pool2</v>
      </c>
      <c r="AP31" s="167" t="str">
        <f>IF(HLOOKUP(AP30,$AF28:$AJ29,2,FALSE)="z*","",HLOOKUP(AP30,$AF28:$AJ29,2,FALSE))</f>
        <v>z</v>
      </c>
      <c r="AQ31" s="167" t="str">
        <f>IF(HLOOKUP(AQ30,$AF28:$AJ29,2,FALSE)="z*","",HLOOKUP(AQ30,$AF28:$AJ29,2,FALSE))</f>
        <v>zz</v>
      </c>
      <c r="AR31" s="79"/>
      <c r="AS31" s="167" t="str">
        <f>IF(HLOOKUP(AS30,$AF28:$AJ29,2,FALSE)="z*","",HLOOKUP(AS30,$AF28:$AJ29,2,FALSE))</f>
        <v>OW</v>
      </c>
      <c r="AT31" s="167" t="str">
        <f>IF(HLOOKUP(AT30,$AF28:$AJ29,2,FALSE)="z*","",HLOOKUP(AT30,$AF28:$AJ29,2,FALSE))</f>
        <v>pool1</v>
      </c>
      <c r="AU31" s="167" t="str">
        <f>IF(HLOOKUP(AU30,$AF28:$AJ29,2,FALSE)="z*","",HLOOKUP(AU30,$AF28:$AJ29,2,FALSE))</f>
        <v>pool2</v>
      </c>
      <c r="AV31" s="167" t="str">
        <f>IF(HLOOKUP(AV30,$AF28:$AJ29,2,FALSE)="z*","",HLOOKUP(AV30,$AF28:$AJ29,2,FALSE))</f>
        <v>z</v>
      </c>
      <c r="AW31" s="167" t="str">
        <f>IF(HLOOKUP(AW30,$AF28:$AJ29,2,FALSE)="z*","",HLOOKUP(AW30,$AF28:$AJ29,2,FALSE))</f>
        <v>zz</v>
      </c>
      <c r="AX31" s="79"/>
      <c r="AY31" s="79"/>
      <c r="AZ31" s="171"/>
      <c r="BA31" s="95" t="s">
        <v>99</v>
      </c>
      <c r="BB31" s="95" t="s">
        <v>100</v>
      </c>
      <c r="BC31" s="95" t="s">
        <v>101</v>
      </c>
      <c r="BD31" s="95" t="s">
        <v>102</v>
      </c>
      <c r="BE31" s="95" t="s">
        <v>103</v>
      </c>
      <c r="BF31" s="95" t="s">
        <v>104</v>
      </c>
      <c r="BG31" s="95" t="s">
        <v>105</v>
      </c>
      <c r="BH31" s="79"/>
      <c r="BI31" s="402"/>
      <c r="BJ31" s="402" t="s">
        <v>116</v>
      </c>
      <c r="BK31" s="402" t="s">
        <v>169</v>
      </c>
      <c r="BL31" s="402" t="s">
        <v>118</v>
      </c>
      <c r="BM31" s="402" t="s">
        <v>120</v>
      </c>
      <c r="BN31" s="402" t="s">
        <v>117</v>
      </c>
      <c r="BO31" s="402" t="s">
        <v>119</v>
      </c>
      <c r="BP31" s="402" t="s">
        <v>150</v>
      </c>
      <c r="BQ31" s="402" t="s">
        <v>171</v>
      </c>
      <c r="BR31" s="402" t="s">
        <v>367</v>
      </c>
      <c r="BS31" s="272"/>
    </row>
    <row r="32" spans="1:71" ht="26">
      <c r="A32" s="76"/>
      <c r="B32" s="394">
        <v>1</v>
      </c>
      <c r="C32" s="167">
        <f>D53</f>
        <v>45292</v>
      </c>
      <c r="D32" s="403">
        <f>D50</f>
        <v>45292</v>
      </c>
      <c r="E32" s="404" t="str">
        <f>AE32</f>
        <v>Jan.</v>
      </c>
      <c r="F32" s="95">
        <v>31</v>
      </c>
      <c r="G32" s="405">
        <f ca="1">SUM(N32:S32)</f>
        <v>-1E-54</v>
      </c>
      <c r="H32" s="406">
        <f ca="1">G32</f>
        <v>-1E-54</v>
      </c>
      <c r="I32" s="406">
        <f>JAN!H$55</f>
        <v>0</v>
      </c>
      <c r="J32" s="406">
        <f>I32</f>
        <v>0</v>
      </c>
      <c r="K32" s="406">
        <f>B$10/SUM(F32:F43)*F32</f>
        <v>34759.192089436503</v>
      </c>
      <c r="L32" s="406">
        <f t="shared" ref="L32:L43" si="0">IF(E$5=1,B$8/(D$44-D$32)*F32,IF(E$5=2,B$9/(D$44-D$32)*F32,IF(E$5=3,B$10/(D$44-D$32)*F32)))</f>
        <v>34759.192089436503</v>
      </c>
      <c r="M32" s="406">
        <f>L32</f>
        <v>34759.192089436503</v>
      </c>
      <c r="N32" s="406">
        <f ca="1">IF($E$5=1,JAN!$F$12,IF($E$5=2,JAN!$G$12,IF($E$5=3,JAN!$H$12,"")))</f>
        <v>-2E-55</v>
      </c>
      <c r="O32" s="406">
        <f ca="1">IF($E$5=1,JAN!$F$21,IF($E$5=2,JAN!$G$21,IF($E$5=3,JAN!$H$21,"")))</f>
        <v>-2E-55</v>
      </c>
      <c r="P32" s="406">
        <f ca="1">IF($E$5=1,JAN!$F$30,IF($E$5=2,JAN!$G$30,IF($E$5=3,JAN!$H$30,"")))</f>
        <v>-2E-55</v>
      </c>
      <c r="Q32" s="406">
        <f ca="1">IF($E$5=1,JAN!$F$39,IF($E$5=2,JAN!$G$39,IF($E$5=3,JAN!$H$39,"")))</f>
        <v>-2E-55</v>
      </c>
      <c r="R32" s="406">
        <f ca="1">IF($E$5=1,JAN!$F$48,IF($E$5=2,JAN!$G$48,IF($E$5=3,JAN!$H$48,"")))</f>
        <v>-2E-55</v>
      </c>
      <c r="S32" s="406" t="str">
        <f>IF(JAN!$H$53=-1E-55,"",IF($E$5=1,JAN!$F$52,IF($E$5=2,JAN!$G$52,IF($E$5=3,JAN!$H$52,""))))</f>
        <v/>
      </c>
      <c r="T32" s="406">
        <f t="shared" ref="T32:T43" ca="1" si="1">IF(TODAY()&gt;=C33-1,0,G32)</f>
        <v>-1E-54</v>
      </c>
      <c r="U32" s="407">
        <f ca="1">IF($G32&lt;0.0011,0,VLOOKUP($B$12,JAN!$C$4:$AA$56,25)-VLOOKUP($B$12-1,JAN!$C$4:$AA$56,25))</f>
        <v>0</v>
      </c>
      <c r="V32" s="408">
        <f ca="1">IF($B$12&lt;D32-1,0,IF($B$12&gt;D33-1,0,VLOOKUP($B$12,JAN!$C$4:$AA$56,3)))</f>
        <v>0</v>
      </c>
      <c r="W32" s="171">
        <f ca="1">IF(TODAY()&gt;=C33-1,IF((M32-G32)&gt;0,G32,0),0)</f>
        <v>0</v>
      </c>
      <c r="X32" s="171">
        <f t="shared" ref="X32:X43" si="2">L32/50</f>
        <v>695.18384178873009</v>
      </c>
      <c r="Y32" s="172">
        <f ca="1">IF(TODAY()&gt;=C33-1,IF((M32-G32)&lt;0,G32,0),0)</f>
        <v>0</v>
      </c>
      <c r="Z32" s="79">
        <f ca="1">IF(TODAY()&gt;(D33-1),0-L32/100,IF(TODAY()&lt;D32,0-L32/100,(TODAY()-D32+1)/F32*(M$43-H31)/AC32*F32))</f>
        <v>-347.59192089436505</v>
      </c>
      <c r="AA32" s="409">
        <f t="shared" ref="AA32:AA43" ca="1" si="3">T32+W32+Y32</f>
        <v>-1E-54</v>
      </c>
      <c r="AB32" s="410">
        <v>-1</v>
      </c>
      <c r="AC32" s="95">
        <f t="shared" ref="AC32:AC42" si="4">AC33+F32</f>
        <v>366</v>
      </c>
      <c r="AD32" s="410">
        <f>M32</f>
        <v>34759.192089436503</v>
      </c>
      <c r="AE32" s="411" t="str">
        <f>HLOOKUP(Q$21,BJ$30:$BR$43,BI32)</f>
        <v>Jan.</v>
      </c>
      <c r="AF32" s="412">
        <f>JAN!L53</f>
        <v>0</v>
      </c>
      <c r="AG32" s="412">
        <f>JAN!L54</f>
        <v>0</v>
      </c>
      <c r="AH32" s="412">
        <f>JAN!L55</f>
        <v>0</v>
      </c>
      <c r="AI32" s="412" t="str">
        <f>JAN!L56</f>
        <v/>
      </c>
      <c r="AJ32" s="412" t="str">
        <f>JAN!L57</f>
        <v/>
      </c>
      <c r="AK32" s="412">
        <f>JAN!L59</f>
        <v>0</v>
      </c>
      <c r="AL32" s="413">
        <f>JAN!L$40</f>
        <v>0</v>
      </c>
      <c r="AM32" s="400">
        <f>IFERROR(JAN!$M$53,"zero")</f>
        <v>0</v>
      </c>
      <c r="AN32" s="400">
        <f>IFERROR(JAN!$M$54,"zero")</f>
        <v>0</v>
      </c>
      <c r="AO32" s="400">
        <f>IFERROR(JAN!$M$55,"zero")</f>
        <v>0</v>
      </c>
      <c r="AP32" s="400" t="str">
        <f>IFERROR(JAN!$M$56,"zero")</f>
        <v/>
      </c>
      <c r="AQ32" s="400" t="str">
        <f>IFERROR(JAN!$M$57,"zero")</f>
        <v/>
      </c>
      <c r="AR32" s="400">
        <f t="shared" ref="AR32:AR37" si="5">SUM(AM32:AQ32)</f>
        <v>0</v>
      </c>
      <c r="AS32" s="79"/>
      <c r="AT32" s="79"/>
      <c r="AU32" s="79"/>
      <c r="AV32" s="79"/>
      <c r="AW32" s="79"/>
      <c r="AX32" s="95"/>
      <c r="AY32" s="79"/>
      <c r="AZ32" s="409" t="str">
        <f>JAN!O57</f>
        <v>distance</v>
      </c>
      <c r="BA32" s="413">
        <f>JAN!P57+FEB!P57+MAR!P57+APR!P57+MAY!P57+JUN!P57+JUL!P57+AUG!P57+SEP!P57+OCT!P57+NOV!P57+DEC!P57</f>
        <v>0</v>
      </c>
      <c r="BB32" s="413">
        <f>JAN!Q57+FEB!Q57+MAR!Q57+APR!Q57+MAY!Q57+JUN!Q57+JUL!Q57+AUG!Q57+SEP!Q57+OCT!Q57+NOV!Q57+DEC!Q57</f>
        <v>0</v>
      </c>
      <c r="BC32" s="413">
        <f>JAN!R57+FEB!R57+MAR!R57+APR!R57+MAY!R57+JUN!R57+JUL!R57+AUG!R57+SEP!R57+OCT!R57+NOV!R57+DEC!R57</f>
        <v>0</v>
      </c>
      <c r="BD32" s="413">
        <f>JAN!S57+FEB!S57+MAR!S57+APR!S57+MAY!S57+JUN!S57+JUL!S57+AUG!S57+SEP!S57+OCT!S57+NOV!S57+DEC!S57</f>
        <v>0</v>
      </c>
      <c r="BE32" s="413">
        <f>JAN!T57+FEB!T57+MAR!T57+APR!T57+MAY!T57+JUN!T57+JUL!T57+AUG!T57+SEP!T57+OCT!T57+NOV!T57+DEC!T57</f>
        <v>0</v>
      </c>
      <c r="BF32" s="413">
        <f>JAN!U57+FEB!U57+MAR!U57+APR!U57+MAY!U57+JUN!U57+JUL!U57+AUG!U57+SEP!U57+OCT!U57+NOV!U57+DEC!U57</f>
        <v>0</v>
      </c>
      <c r="BG32" s="413">
        <f>JAN!V57+FEB!V57+MAR!V57+APR!V57+MAY!V57+JUN!V57+JUL!V57+AUG!V57+SEP!V57+OCT!V57+NOV!V57+DEC!V57</f>
        <v>0</v>
      </c>
      <c r="BH32" s="79"/>
      <c r="BI32" s="79">
        <v>3</v>
      </c>
      <c r="BJ32" s="414" t="s">
        <v>72</v>
      </c>
      <c r="BK32" s="414" t="s">
        <v>72</v>
      </c>
      <c r="BL32" s="414" t="s">
        <v>72</v>
      </c>
      <c r="BM32" s="414" t="s">
        <v>148</v>
      </c>
      <c r="BN32" s="414" t="s">
        <v>72</v>
      </c>
      <c r="BO32" s="414" t="s">
        <v>149</v>
      </c>
      <c r="BP32" s="414" t="s">
        <v>151</v>
      </c>
      <c r="BQ32" s="414" t="s">
        <v>172</v>
      </c>
      <c r="BR32" s="414" t="s">
        <v>399</v>
      </c>
      <c r="BS32" s="272"/>
    </row>
    <row r="33" spans="1:71" ht="26">
      <c r="A33" s="76"/>
      <c r="B33" s="394">
        <v>2</v>
      </c>
      <c r="C33" s="167">
        <f t="shared" ref="C33:C44" si="6">(ROUNDDOWN(((D32-C32)+F32)/7,0))*7+C32</f>
        <v>45320</v>
      </c>
      <c r="D33" s="403">
        <f t="shared" ref="D33:D44" si="7">D32+F32</f>
        <v>45323</v>
      </c>
      <c r="E33" s="404" t="str">
        <f t="shared" ref="E33:E43" si="8">AE33</f>
        <v>Feb.</v>
      </c>
      <c r="F33" s="79">
        <f>IF(C7/4=INT(C7/4),29,28)</f>
        <v>29</v>
      </c>
      <c r="G33" s="405">
        <f t="shared" ref="G33:G43" ca="1" si="9">SUM(N33:S33)</f>
        <v>-1E-54</v>
      </c>
      <c r="H33" s="406">
        <f t="shared" ref="H33:H43" ca="1" si="10">H32+G33</f>
        <v>-2.0000000000000001E-54</v>
      </c>
      <c r="I33" s="406">
        <f>FEB!H$55</f>
        <v>0</v>
      </c>
      <c r="J33" s="406">
        <f>J32+I33</f>
        <v>0</v>
      </c>
      <c r="K33" s="406">
        <f t="shared" ref="K33:K43" si="11">B$10/SUM(F$32:F$43)*F33+K32</f>
        <v>67275.855656973872</v>
      </c>
      <c r="L33" s="406">
        <f t="shared" si="0"/>
        <v>32516.663567537376</v>
      </c>
      <c r="M33" s="406">
        <f t="shared" ref="M33:M43" si="12">M32+L33</f>
        <v>67275.855656973872</v>
      </c>
      <c r="N33" s="406">
        <f ca="1">IF($E$5=1,FEB!$F$12,IF($E$5=2,FEB!$G$12,IF($E$5=3,FEB!$H$12,"")))</f>
        <v>-2E-55</v>
      </c>
      <c r="O33" s="406">
        <f ca="1">IF($E$5=1,FEB!$F$21,IF($E$5=2,FEB!$G$21,IF($E$5=3,FEB!$H$21,"")))</f>
        <v>-2E-55</v>
      </c>
      <c r="P33" s="406">
        <f ca="1">IF($E$5=1,FEB!$F$30,IF($E$5=2,FEB!$G$30,IF($E$5=3,FEB!$H$30,"")))</f>
        <v>-2E-55</v>
      </c>
      <c r="Q33" s="406">
        <f ca="1">IF($E$5=1,FEB!$F$39,IF($E$5=2,FEB!$G$39,IF($E$5=3,FEB!$H$39,"")))</f>
        <v>-2E-55</v>
      </c>
      <c r="R33" s="406">
        <f ca="1">IF($E$5=1,FEB!$F$48,IF($E$5=2,FEB!$G$48,IF($E$5=3,FEB!$H$48,"")))</f>
        <v>-2E-55</v>
      </c>
      <c r="S33" s="406" t="str">
        <f>IF(FEB!$H$53=-1E-55,"",IF($E$5=1,FEB!$F$52,IF($E$5=2,FEB!$G$52,IF($E$5=3,FEB!$H$52,""))))</f>
        <v/>
      </c>
      <c r="T33" s="406">
        <f t="shared" ca="1" si="1"/>
        <v>-1E-54</v>
      </c>
      <c r="U33" s="415">
        <f ca="1">IF($G33&lt;0.0011,0,VLOOKUP($B$12,FEB!$C$4:$AA$56,25)-VLOOKUP($B$12-1,FEB!$C$4:$AA$56,25))</f>
        <v>0</v>
      </c>
      <c r="V33" s="408">
        <f ca="1">IF($B$12&lt;D33-1,0,IF($B$12&gt;D34-1,0,VLOOKUP($B$12,FEB!$C$4:$AA$56,3)))</f>
        <v>0</v>
      </c>
      <c r="W33" s="171">
        <f t="shared" ref="W33:W43" ca="1" si="13">IF(TODAY()&gt;=C34-1,IF((AB33-G33)&gt;0,G33,0),0)</f>
        <v>0</v>
      </c>
      <c r="X33" s="171">
        <f t="shared" si="2"/>
        <v>650.33327135074751</v>
      </c>
      <c r="Y33" s="172">
        <f t="shared" ref="Y33:Y43" ca="1" si="14">IF(TODAY()&gt;=C34-1,IF((AB33-G33)&lt;0,G33,0),0)</f>
        <v>0</v>
      </c>
      <c r="Z33" s="79">
        <f t="shared" ref="Z33:Z43" ca="1" si="15">IF(TODAY()&gt;(D34-1),0-L33/100,IF(TODAY()&lt;D33,0-L33/100,(TODAY()-D33+1)/F33*AB33))</f>
        <v>-325.16663567537375</v>
      </c>
      <c r="AA33" s="409">
        <f t="shared" ca="1" si="3"/>
        <v>-1E-54</v>
      </c>
      <c r="AB33" s="410">
        <f t="shared" ref="AB33:AB43" ca="1" si="16">IF(TODAY()&gt;D33-7,(M$43-H32)/AC33*F33,-1)</f>
        <v>-1</v>
      </c>
      <c r="AC33" s="95">
        <f t="shared" si="4"/>
        <v>335</v>
      </c>
      <c r="AD33" s="410">
        <f t="shared" ref="AD33:AD43" ca="1" si="17">IF(TODAY()&gt;D33-7,(M$43-H32)/AC33*F33,-1)</f>
        <v>-1</v>
      </c>
      <c r="AE33" s="411" t="str">
        <f>HLOOKUP(Q$21,BJ$30:$BR$43,BI33)</f>
        <v>Feb.</v>
      </c>
      <c r="AF33" s="412">
        <f>FEB!$L$53</f>
        <v>0</v>
      </c>
      <c r="AG33" s="412">
        <f>FEB!$L$54</f>
        <v>0</v>
      </c>
      <c r="AH33" s="412">
        <f>FEB!$L$55</f>
        <v>0</v>
      </c>
      <c r="AI33" s="412" t="str">
        <f>FEB!$L$56</f>
        <v/>
      </c>
      <c r="AJ33" s="412" t="str">
        <f>FEB!$L$57</f>
        <v/>
      </c>
      <c r="AK33" s="412">
        <f>FEB!$L$59</f>
        <v>0</v>
      </c>
      <c r="AL33" s="413">
        <f>FEB!L$40</f>
        <v>0</v>
      </c>
      <c r="AM33" s="400">
        <f>IFERROR(FEB!$M$53,"zero")</f>
        <v>0</v>
      </c>
      <c r="AN33" s="400">
        <f>IFERROR(FEB!$M$54,"zero")</f>
        <v>0</v>
      </c>
      <c r="AO33" s="400">
        <f>IFERROR(FEB!$M$55,"zero")</f>
        <v>0</v>
      </c>
      <c r="AP33" s="400" t="str">
        <f>IFERROR(FEB!$M$56,"zero")</f>
        <v/>
      </c>
      <c r="AQ33" s="400" t="str">
        <f>IFERROR(FEB!$M$57,"zero")</f>
        <v/>
      </c>
      <c r="AR33" s="400">
        <f t="shared" si="5"/>
        <v>0</v>
      </c>
      <c r="AS33" s="79"/>
      <c r="AT33" s="79"/>
      <c r="AU33" s="79"/>
      <c r="AV33" s="79"/>
      <c r="AW33" s="79"/>
      <c r="AX33" s="95"/>
      <c r="AY33" s="79"/>
      <c r="AZ33" s="409" t="str">
        <f>JAN!O58</f>
        <v>wet time   /h</v>
      </c>
      <c r="BA33" s="413">
        <f>JAN!P58+FEB!P58+MAR!P58+APR!P58+MAY!P58+JUN!P58+JUL!P58+AUG!P58+SEP!P58+OCT!P58+NOV!P58+DEC!P58</f>
        <v>0</v>
      </c>
      <c r="BB33" s="413">
        <f>JAN!Q58+FEB!Q58+MAR!Q58+APR!Q58+MAY!Q58+JUN!Q58+JUL!Q58+AUG!Q58+SEP!Q58+OCT!Q58+NOV!Q58+DEC!Q58</f>
        <v>0</v>
      </c>
      <c r="BC33" s="413">
        <f>JAN!R58+FEB!R58+MAR!R58+APR!R58+MAY!R58+JUN!R58+JUL!R58+AUG!R58+SEP!R58+OCT!R58+NOV!R58+DEC!R58</f>
        <v>0</v>
      </c>
      <c r="BD33" s="413">
        <f>JAN!S58+FEB!S58+MAR!S58+APR!S58+MAY!S58+JUN!S58+JUL!S58+AUG!S58+SEP!S58+OCT!S58+NOV!S58+DEC!S58</f>
        <v>0</v>
      </c>
      <c r="BE33" s="413">
        <f>JAN!T58+FEB!T58+MAR!T58+APR!T58+MAY!T58+JUN!T58+JUL!T58+AUG!T58+SEP!T58+OCT!T58+NOV!T58+DEC!T58</f>
        <v>0</v>
      </c>
      <c r="BF33" s="413">
        <f>JAN!U58+FEB!U58+MAR!U58+APR!U58+MAY!U58+JUN!U58+JUL!U58+AUG!U58+SEP!U58+OCT!U58+NOV!U58+DEC!U58</f>
        <v>0</v>
      </c>
      <c r="BG33" s="413">
        <f>JAN!V58+FEB!V58+MAR!V58+APR!V58+MAY!V58+JUN!V58+JUL!V58+AUG!V58+SEP!V58+OCT!V58+NOV!V58+DEC!V58</f>
        <v>0</v>
      </c>
      <c r="BH33" s="79"/>
      <c r="BI33" s="79">
        <v>4</v>
      </c>
      <c r="BJ33" s="414" t="s">
        <v>71</v>
      </c>
      <c r="BK33" s="414" t="s">
        <v>142</v>
      </c>
      <c r="BL33" s="414" t="s">
        <v>71</v>
      </c>
      <c r="BM33" s="414" t="s">
        <v>71</v>
      </c>
      <c r="BN33" s="414" t="s">
        <v>142</v>
      </c>
      <c r="BO33" s="414" t="s">
        <v>71</v>
      </c>
      <c r="BP33" s="414" t="s">
        <v>152</v>
      </c>
      <c r="BQ33" s="414" t="s">
        <v>173</v>
      </c>
      <c r="BR33" s="414" t="s">
        <v>398</v>
      </c>
      <c r="BS33" s="272"/>
    </row>
    <row r="34" spans="1:71" ht="26">
      <c r="A34" s="76"/>
      <c r="B34" s="394">
        <v>3</v>
      </c>
      <c r="C34" s="167">
        <f t="shared" si="6"/>
        <v>45348</v>
      </c>
      <c r="D34" s="403">
        <f t="shared" si="7"/>
        <v>45352</v>
      </c>
      <c r="E34" s="404" t="str">
        <f t="shared" si="8"/>
        <v>Mar.</v>
      </c>
      <c r="F34" s="95">
        <v>31</v>
      </c>
      <c r="G34" s="405">
        <f t="shared" ca="1" si="9"/>
        <v>-1E-54</v>
      </c>
      <c r="H34" s="406">
        <f t="shared" ca="1" si="10"/>
        <v>-3.0000000000000001E-54</v>
      </c>
      <c r="I34" s="406">
        <f>MAR!H$55</f>
        <v>0</v>
      </c>
      <c r="J34" s="406">
        <f t="shared" ref="J34:J43" si="18">J33+I34</f>
        <v>0</v>
      </c>
      <c r="K34" s="406">
        <f t="shared" si="11"/>
        <v>102035.04774641038</v>
      </c>
      <c r="L34" s="406">
        <f t="shared" si="0"/>
        <v>34759.192089436503</v>
      </c>
      <c r="M34" s="406">
        <f t="shared" si="12"/>
        <v>102035.04774641038</v>
      </c>
      <c r="N34" s="406">
        <f ca="1">IF($E$5=1,MAR!$F$12,IF($E$5=2,MAR!$G$12,IF($E$5=3,MAR!$H$12,"")))</f>
        <v>-2E-55</v>
      </c>
      <c r="O34" s="406">
        <f ca="1">IF($E$5=1,MAR!$F$21,IF($E$5=2,MAR!$G$21,IF($E$5=3,MAR!$H$21,"")))</f>
        <v>-2E-55</v>
      </c>
      <c r="P34" s="406">
        <f ca="1">IF($E$5=1,MAR!$F$30,IF($E$5=2,MAR!$G$30,IF($E$5=3,MAR!$H$30,"")))</f>
        <v>-2E-55</v>
      </c>
      <c r="Q34" s="406">
        <f ca="1">IF($E$5=1,MAR!$F$39,IF($E$5=2,MAR!$G$39,IF($E$5=3,MAR!$H$39,"")))</f>
        <v>-2E-55</v>
      </c>
      <c r="R34" s="406">
        <f ca="1">IF($E$5=1,MAR!$F$48,IF($E$5=2,MAR!$G$48,IF($E$5=3,MAR!$H$48,"")))</f>
        <v>-2E-55</v>
      </c>
      <c r="S34" s="406" t="str">
        <f>IF(MAR!$H$53=-1E-55,"",IF($E$5=1,MAR!$F$52,IF($E$5=2,MAR!$G$52,IF($E$5=3,MAR!$H$52,""))))</f>
        <v/>
      </c>
      <c r="T34" s="406">
        <f t="shared" ca="1" si="1"/>
        <v>-1E-54</v>
      </c>
      <c r="U34" s="415">
        <f ca="1">IF($G34&lt;0.0011,0,VLOOKUP($B$12,MAR!$C$4:$AA$56,25)-VLOOKUP($B$12-1,MAR!$C$4:$AA$56,25))</f>
        <v>0</v>
      </c>
      <c r="V34" s="408">
        <f ca="1">IF($B$12&lt;D34-1,0,IF($B$12&gt;D35-1,0,VLOOKUP($B$12,MAR!$C$4:$AA$56,3)))</f>
        <v>0</v>
      </c>
      <c r="W34" s="171">
        <f t="shared" ca="1" si="13"/>
        <v>0</v>
      </c>
      <c r="X34" s="171">
        <f t="shared" si="2"/>
        <v>695.18384178873009</v>
      </c>
      <c r="Y34" s="172">
        <f t="shared" ca="1" si="14"/>
        <v>0</v>
      </c>
      <c r="Z34" s="79">
        <f t="shared" ca="1" si="15"/>
        <v>-347.59192089436505</v>
      </c>
      <c r="AA34" s="409">
        <f t="shared" ca="1" si="3"/>
        <v>-1E-54</v>
      </c>
      <c r="AB34" s="410">
        <f t="shared" ca="1" si="16"/>
        <v>-1</v>
      </c>
      <c r="AC34" s="95">
        <f t="shared" si="4"/>
        <v>306</v>
      </c>
      <c r="AD34" s="410">
        <f t="shared" ca="1" si="17"/>
        <v>-1</v>
      </c>
      <c r="AE34" s="411" t="str">
        <f>HLOOKUP(Q$21,BJ$30:$BR$43,BI34)</f>
        <v>Mar.</v>
      </c>
      <c r="AF34" s="412">
        <f>MAR!$L$53</f>
        <v>0</v>
      </c>
      <c r="AG34" s="412">
        <f>MAR!$L$54</f>
        <v>0</v>
      </c>
      <c r="AH34" s="412">
        <f>MAR!$L$55</f>
        <v>0</v>
      </c>
      <c r="AI34" s="412" t="str">
        <f>MAR!$L$56</f>
        <v/>
      </c>
      <c r="AJ34" s="412" t="str">
        <f>MAR!$L$57</f>
        <v/>
      </c>
      <c r="AK34" s="412">
        <f>MAR!$L$59</f>
        <v>0</v>
      </c>
      <c r="AL34" s="413">
        <f>MAR!L$40</f>
        <v>0</v>
      </c>
      <c r="AM34" s="400">
        <f>IFERROR(MAR!$M$53,"zero")</f>
        <v>0</v>
      </c>
      <c r="AN34" s="400">
        <f>IFERROR(MAR!$M$54,"zero")</f>
        <v>0</v>
      </c>
      <c r="AO34" s="400">
        <f>IFERROR(MAR!$M$55,"zero")</f>
        <v>0</v>
      </c>
      <c r="AP34" s="400" t="str">
        <f>IFERROR(MAR!$M$56,"zero")</f>
        <v/>
      </c>
      <c r="AQ34" s="400" t="str">
        <f>IFERROR(MAR!$M$57,"zero")</f>
        <v/>
      </c>
      <c r="AR34" s="400">
        <f t="shared" si="5"/>
        <v>0</v>
      </c>
      <c r="AS34" s="79"/>
      <c r="AT34" s="79"/>
      <c r="AU34" s="79"/>
      <c r="AV34" s="79"/>
      <c r="AW34" s="79"/>
      <c r="AX34" s="95"/>
      <c r="AY34" s="79"/>
      <c r="AZ34" s="272" t="s">
        <v>472</v>
      </c>
      <c r="BA34" s="413">
        <f>JAN!P55+FEB!P55+MAR!P55+APR!P55+MAY!P55+JUN!P55+JUL!P55+AUG!P55+SEP!P55+OCT!P55+NOV!P55+DEC!P55</f>
        <v>0</v>
      </c>
      <c r="BB34" s="413">
        <f>JAN!Q55+FEB!Q55+MAR!Q55+APR!Q55+MAY!Q55+JUN!Q55+JUL!Q55+AUG!Q55+SEP!Q55+OCT!Q55+NOV!Q55+DEC!Q55</f>
        <v>0</v>
      </c>
      <c r="BC34" s="413">
        <f>JAN!R55+FEB!R55+MAR!R55+APR!R55+MAY!R55+JUN!R55+JUL!R55+AUG!R55+SEP!R55+OCT!R55+NOV!R55+DEC!R55</f>
        <v>0</v>
      </c>
      <c r="BD34" s="413">
        <f>JAN!S55+FEB!S55+MAR!S55+APR!S55+MAY!S55+JUN!S55+JUL!S55+AUG!S55+SEP!S55+OCT!S55+NOV!S55+DEC!S55</f>
        <v>0</v>
      </c>
      <c r="BE34" s="413">
        <f>JAN!T55+FEB!T55+MAR!T55+APR!T55+MAY!T55+JUN!T55+JUL!T55+AUG!T55+SEP!T55+OCT!T55+NOV!T55+DEC!T55</f>
        <v>0</v>
      </c>
      <c r="BF34" s="413">
        <f>JAN!U55+FEB!U55+MAR!U55+APR!U55+MAY!U55+JUN!U55+JUL!U55+AUG!U55+SEP!U55+OCT!U55+NOV!U55+DEC!U55</f>
        <v>0</v>
      </c>
      <c r="BG34" s="413">
        <f>JAN!V55+FEB!V55+MAR!V55+APR!V55+MAY!V55+JUN!V55+JUL!V55+AUG!V55+SEP!V55+OCT!V55+NOV!V55+DEC!V55</f>
        <v>0</v>
      </c>
      <c r="BH34" s="79"/>
      <c r="BI34" s="79">
        <v>5</v>
      </c>
      <c r="BJ34" s="414" t="s">
        <v>73</v>
      </c>
      <c r="BK34" s="414" t="s">
        <v>73</v>
      </c>
      <c r="BL34" s="414" t="s">
        <v>73</v>
      </c>
      <c r="BM34" s="414" t="s">
        <v>73</v>
      </c>
      <c r="BN34" s="414" t="s">
        <v>73</v>
      </c>
      <c r="BO34" s="414" t="s">
        <v>73</v>
      </c>
      <c r="BP34" s="414" t="s">
        <v>153</v>
      </c>
      <c r="BQ34" s="414" t="s">
        <v>174</v>
      </c>
      <c r="BR34" s="414" t="s">
        <v>400</v>
      </c>
      <c r="BS34" s="272"/>
    </row>
    <row r="35" spans="1:71" ht="26">
      <c r="A35" s="76"/>
      <c r="B35" s="394">
        <v>4</v>
      </c>
      <c r="C35" s="167">
        <f t="shared" si="6"/>
        <v>45383</v>
      </c>
      <c r="D35" s="403">
        <f t="shared" si="7"/>
        <v>45383</v>
      </c>
      <c r="E35" s="404" t="str">
        <f t="shared" si="8"/>
        <v>Apr.</v>
      </c>
      <c r="F35" s="95">
        <v>30</v>
      </c>
      <c r="G35" s="405">
        <f t="shared" ca="1" si="9"/>
        <v>-1E-54</v>
      </c>
      <c r="H35" s="406">
        <f t="shared" ca="1" si="10"/>
        <v>-4.0000000000000001E-54</v>
      </c>
      <c r="I35" s="406">
        <f>APR!H$55</f>
        <v>0</v>
      </c>
      <c r="J35" s="406">
        <f t="shared" si="18"/>
        <v>0</v>
      </c>
      <c r="K35" s="406">
        <f t="shared" si="11"/>
        <v>135672.97557489731</v>
      </c>
      <c r="L35" s="406">
        <f t="shared" si="0"/>
        <v>33637.927828486943</v>
      </c>
      <c r="M35" s="406">
        <f t="shared" si="12"/>
        <v>135672.97557489731</v>
      </c>
      <c r="N35" s="406">
        <f ca="1">IF($E$5=1,APR!$F$12,IF($E$5=2,APR!$G$12,IF($E$5=3,APR!$H$12,"")))</f>
        <v>-2E-55</v>
      </c>
      <c r="O35" s="406">
        <f ca="1">IF($E$5=1,APR!$F$21,IF($E$5=2,APR!$G$21,IF($E$5=3,APR!$H$21,"")))</f>
        <v>-2E-55</v>
      </c>
      <c r="P35" s="406">
        <f ca="1">IF($E$5=1,APR!$F$30,IF($E$5=2,APR!$G$30,IF($E$5=3,APR!$H$30,"")))</f>
        <v>-2E-55</v>
      </c>
      <c r="Q35" s="406">
        <f ca="1">IF($E$5=1,APR!$F$39,IF($E$5=2,APR!$G$39,IF($E$5=3,APR!$H$39,"")))</f>
        <v>-2E-55</v>
      </c>
      <c r="R35" s="406">
        <f ca="1">IF($E$5=1,APR!$F$48,IF($E$5=2,APR!$G$48,IF($E$5=3,APR!$H$48,"")))</f>
        <v>-2E-55</v>
      </c>
      <c r="S35" s="406" t="str">
        <f>IF(APR!$H$53=-1E-55,"",IF($E$5=1,APR!$F$52,IF($E$5=2,APR!$G$52,IF($E$5=3,APR!$H$52,""))))</f>
        <v/>
      </c>
      <c r="T35" s="406">
        <f t="shared" ca="1" si="1"/>
        <v>-1E-54</v>
      </c>
      <c r="U35" s="415">
        <f ca="1">IF($G35&lt;0.0011,0,VLOOKUP($B$12,APR!$C$4:$AA$56,25)-VLOOKUP($B$12-1,APR!$C$4:$AA$56,25))</f>
        <v>0</v>
      </c>
      <c r="V35" s="408">
        <f ca="1">IF($B$12&lt;D35-1,0,IF($B$12&gt;D36-1,0,VLOOKUP($B$12,APR!$C$4:$AA$56,3)))</f>
        <v>0</v>
      </c>
      <c r="W35" s="171">
        <f t="shared" ca="1" si="13"/>
        <v>0</v>
      </c>
      <c r="X35" s="171">
        <f t="shared" si="2"/>
        <v>672.75855656973886</v>
      </c>
      <c r="Y35" s="172">
        <f t="shared" ca="1" si="14"/>
        <v>0</v>
      </c>
      <c r="Z35" s="79">
        <f t="shared" ca="1" si="15"/>
        <v>-336.37927828486943</v>
      </c>
      <c r="AA35" s="409">
        <f t="shared" ca="1" si="3"/>
        <v>-1E-54</v>
      </c>
      <c r="AB35" s="410">
        <f t="shared" ca="1" si="16"/>
        <v>-1</v>
      </c>
      <c r="AC35" s="95">
        <f t="shared" si="4"/>
        <v>275</v>
      </c>
      <c r="AD35" s="410">
        <f t="shared" ca="1" si="17"/>
        <v>-1</v>
      </c>
      <c r="AE35" s="411" t="str">
        <f>HLOOKUP(Q$21,BJ$30:$BR$43,BI35)</f>
        <v>Apr.</v>
      </c>
      <c r="AF35" s="412">
        <f>APR!$L$53</f>
        <v>0</v>
      </c>
      <c r="AG35" s="412">
        <f>APR!$L$54</f>
        <v>0</v>
      </c>
      <c r="AH35" s="412">
        <f>APR!$L$55</f>
        <v>0</v>
      </c>
      <c r="AI35" s="412" t="str">
        <f>APR!$L$56</f>
        <v/>
      </c>
      <c r="AJ35" s="412" t="str">
        <f>APR!$L$57</f>
        <v/>
      </c>
      <c r="AK35" s="412">
        <f>APR!$L$59</f>
        <v>0</v>
      </c>
      <c r="AL35" s="413">
        <f>APR!L$40</f>
        <v>0</v>
      </c>
      <c r="AM35" s="400">
        <f>IFERROR(APR!$M$53,"zero")</f>
        <v>0</v>
      </c>
      <c r="AN35" s="400">
        <f>IFERROR(APR!$M$54,"zero")</f>
        <v>0</v>
      </c>
      <c r="AO35" s="400">
        <f>IFERROR(APR!$M$55,"zero")</f>
        <v>0</v>
      </c>
      <c r="AP35" s="400" t="str">
        <f>IFERROR(APR!$M$56,"zero")</f>
        <v/>
      </c>
      <c r="AQ35" s="400" t="str">
        <f>IFERROR(APR!$M$57,"zero")</f>
        <v/>
      </c>
      <c r="AR35" s="400">
        <f t="shared" si="5"/>
        <v>0</v>
      </c>
      <c r="AS35" s="79"/>
      <c r="AT35" s="79"/>
      <c r="AU35" s="79"/>
      <c r="AV35" s="79"/>
      <c r="AW35" s="79"/>
      <c r="AX35" s="95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>
        <v>6</v>
      </c>
      <c r="BJ35" s="414" t="s">
        <v>74</v>
      </c>
      <c r="BK35" s="414" t="s">
        <v>155</v>
      </c>
      <c r="BL35" s="414" t="s">
        <v>74</v>
      </c>
      <c r="BM35" s="414" t="s">
        <v>155</v>
      </c>
      <c r="BN35" s="414" t="s">
        <v>143</v>
      </c>
      <c r="BO35" s="414" t="s">
        <v>74</v>
      </c>
      <c r="BP35" s="414" t="s">
        <v>154</v>
      </c>
      <c r="BQ35" s="414" t="s">
        <v>175</v>
      </c>
      <c r="BR35" s="414" t="s">
        <v>401</v>
      </c>
      <c r="BS35" s="272"/>
    </row>
    <row r="36" spans="1:71" ht="26">
      <c r="A36" s="76"/>
      <c r="B36" s="394">
        <v>5</v>
      </c>
      <c r="C36" s="167">
        <f t="shared" si="6"/>
        <v>45411</v>
      </c>
      <c r="D36" s="403">
        <f t="shared" si="7"/>
        <v>45413</v>
      </c>
      <c r="E36" s="404" t="str">
        <f t="shared" si="8"/>
        <v>May.</v>
      </c>
      <c r="F36" s="95">
        <v>31</v>
      </c>
      <c r="G36" s="405">
        <f t="shared" ca="1" si="9"/>
        <v>-1E-54</v>
      </c>
      <c r="H36" s="406">
        <f t="shared" ca="1" si="10"/>
        <v>-5.0000000000000002E-54</v>
      </c>
      <c r="I36" s="406">
        <f>MAY!H$55</f>
        <v>0</v>
      </c>
      <c r="J36" s="406">
        <f t="shared" si="18"/>
        <v>0</v>
      </c>
      <c r="K36" s="406">
        <f t="shared" si="11"/>
        <v>170432.16766433383</v>
      </c>
      <c r="L36" s="406">
        <f t="shared" si="0"/>
        <v>34759.192089436503</v>
      </c>
      <c r="M36" s="406">
        <f t="shared" si="12"/>
        <v>170432.16766433383</v>
      </c>
      <c r="N36" s="406">
        <f ca="1">IF($E$5=1,MAY!$F$12,IF($E$5=2,MAY!$G$12,IF($E$5=3,MAY!$H$12,"")))</f>
        <v>-2E-55</v>
      </c>
      <c r="O36" s="406">
        <f ca="1">IF($E$5=1,MAY!$F$21,IF($E$5=2,MAY!$G$21,IF($E$5=3,MAY!$H$21,"")))</f>
        <v>-2E-55</v>
      </c>
      <c r="P36" s="406">
        <f ca="1">IF($E$5=1,MAY!$F$30,IF($E$5=2,MAY!$G$30,IF($E$5=3,MAY!$H$30,"")))</f>
        <v>-2E-55</v>
      </c>
      <c r="Q36" s="406">
        <f ca="1">IF($E$5=1,MAY!$F$39,IF($E$5=2,MAY!$G$39,IF($E$5=3,MAY!$H$39,"")))</f>
        <v>-2E-55</v>
      </c>
      <c r="R36" s="406">
        <f ca="1">IF($E$5=1,MAY!$F$48,IF($E$5=2,MAY!$G$48,IF($E$5=3,MAY!$H$48,"")))</f>
        <v>-2E-55</v>
      </c>
      <c r="S36" s="406" t="str">
        <f>IF(MAY!$H$53=-1E-55,"",IF($E$5=1,MAY!$F$52,IF($E$5=2,MAY!$G$52,IF($E$5=3,MAY!$H$52,""))))</f>
        <v/>
      </c>
      <c r="T36" s="406">
        <f t="shared" ca="1" si="1"/>
        <v>-1E-54</v>
      </c>
      <c r="U36" s="415">
        <f ca="1">IF($G36&lt;0.0011,0,VLOOKUP($B$12,MAY!$C$4:$AA$56,25)-VLOOKUP($B$12-1,MAY!$C$4:$AA$56,25))</f>
        <v>0</v>
      </c>
      <c r="V36" s="408">
        <f ca="1">IF($B$12&lt;D36-1,0,IF($B$12&gt;D37-1,0,VLOOKUP($B$12,MAY!$C$4:$AA$56,3)))</f>
        <v>0</v>
      </c>
      <c r="W36" s="171">
        <f t="shared" ca="1" si="13"/>
        <v>0</v>
      </c>
      <c r="X36" s="171">
        <f t="shared" si="2"/>
        <v>695.18384178873009</v>
      </c>
      <c r="Y36" s="172">
        <f t="shared" ca="1" si="14"/>
        <v>0</v>
      </c>
      <c r="Z36" s="79">
        <f t="shared" ca="1" si="15"/>
        <v>-347.59192089436505</v>
      </c>
      <c r="AA36" s="409">
        <f t="shared" ca="1" si="3"/>
        <v>-1E-54</v>
      </c>
      <c r="AB36" s="410">
        <f t="shared" ca="1" si="16"/>
        <v>-1</v>
      </c>
      <c r="AC36" s="95">
        <f t="shared" si="4"/>
        <v>245</v>
      </c>
      <c r="AD36" s="410">
        <f t="shared" ca="1" si="17"/>
        <v>-1</v>
      </c>
      <c r="AE36" s="411" t="str">
        <f>HLOOKUP(Q$21,BJ$30:$BR$43,BI36)</f>
        <v>May.</v>
      </c>
      <c r="AF36" s="412">
        <f>MAY!$L$53</f>
        <v>0</v>
      </c>
      <c r="AG36" s="412">
        <f>MAY!$L$54</f>
        <v>0</v>
      </c>
      <c r="AH36" s="412">
        <f>MAY!$L$55</f>
        <v>0</v>
      </c>
      <c r="AI36" s="412" t="str">
        <f>MAY!$L$56</f>
        <v/>
      </c>
      <c r="AJ36" s="412" t="str">
        <f>MAY!$L$57</f>
        <v/>
      </c>
      <c r="AK36" s="412">
        <f>MAY!$L$59</f>
        <v>0</v>
      </c>
      <c r="AL36" s="413">
        <f>MAY!L$40</f>
        <v>0</v>
      </c>
      <c r="AM36" s="400">
        <f>IFERROR(MAY!$M$53,"zero")</f>
        <v>0</v>
      </c>
      <c r="AN36" s="400">
        <f>IFERROR(MAY!$M$54,"zero")</f>
        <v>0</v>
      </c>
      <c r="AO36" s="400">
        <f>IFERROR(MAY!$M$55,"zero")</f>
        <v>0</v>
      </c>
      <c r="AP36" s="400" t="str">
        <f>IFERROR(MAY!$M$56,"zero")</f>
        <v/>
      </c>
      <c r="AQ36" s="400" t="str">
        <f>IFERROR(MAY!$M$57,"zero")</f>
        <v/>
      </c>
      <c r="AR36" s="400">
        <f t="shared" si="5"/>
        <v>0</v>
      </c>
      <c r="AS36" s="79"/>
      <c r="AT36" s="79"/>
      <c r="AU36" s="79"/>
      <c r="AV36" s="79"/>
      <c r="AW36" s="79"/>
      <c r="AX36" s="95"/>
      <c r="AY36" s="79"/>
      <c r="AZ36" s="190" t="s">
        <v>88</v>
      </c>
      <c r="BA36" s="416">
        <f t="shared" ref="BA36:BG36" si="19">IFERROR(IF($A$16=3,BA32/BA33/1000,IF($A$16=2,BA32/BA33/1760,BA32/BA33)),0)</f>
        <v>0</v>
      </c>
      <c r="BB36" s="416">
        <f t="shared" si="19"/>
        <v>0</v>
      </c>
      <c r="BC36" s="416">
        <f t="shared" si="19"/>
        <v>0</v>
      </c>
      <c r="BD36" s="416">
        <f t="shared" si="19"/>
        <v>0</v>
      </c>
      <c r="BE36" s="416">
        <f t="shared" si="19"/>
        <v>0</v>
      </c>
      <c r="BF36" s="416">
        <f t="shared" si="19"/>
        <v>0</v>
      </c>
      <c r="BG36" s="416">
        <f t="shared" si="19"/>
        <v>0</v>
      </c>
      <c r="BH36" s="79"/>
      <c r="BI36" s="79">
        <v>7</v>
      </c>
      <c r="BJ36" s="414" t="s">
        <v>75</v>
      </c>
      <c r="BK36" s="414" t="s">
        <v>144</v>
      </c>
      <c r="BL36" s="414" t="s">
        <v>144</v>
      </c>
      <c r="BM36" s="414" t="s">
        <v>75</v>
      </c>
      <c r="BN36" s="414" t="s">
        <v>144</v>
      </c>
      <c r="BO36" s="414" t="s">
        <v>156</v>
      </c>
      <c r="BP36" s="414" t="s">
        <v>157</v>
      </c>
      <c r="BQ36" s="414" t="s">
        <v>176</v>
      </c>
      <c r="BR36" s="414" t="s">
        <v>402</v>
      </c>
      <c r="BS36" s="272"/>
    </row>
    <row r="37" spans="1:71" ht="21.75" customHeight="1">
      <c r="A37" s="76"/>
      <c r="B37" s="394">
        <v>6</v>
      </c>
      <c r="C37" s="167">
        <f t="shared" si="6"/>
        <v>45439</v>
      </c>
      <c r="D37" s="403">
        <f t="shared" si="7"/>
        <v>45444</v>
      </c>
      <c r="E37" s="404" t="str">
        <f t="shared" si="8"/>
        <v>Jun.</v>
      </c>
      <c r="F37" s="95">
        <v>30</v>
      </c>
      <c r="G37" s="405">
        <f t="shared" ca="1" si="9"/>
        <v>-1E-54</v>
      </c>
      <c r="H37" s="406">
        <f t="shared" ca="1" si="10"/>
        <v>-6.0000000000000002E-54</v>
      </c>
      <c r="I37" s="406">
        <f>JUN!H$55</f>
        <v>0</v>
      </c>
      <c r="J37" s="406">
        <f t="shared" si="18"/>
        <v>0</v>
      </c>
      <c r="K37" s="406">
        <f t="shared" si="11"/>
        <v>204070.09549282078</v>
      </c>
      <c r="L37" s="406">
        <f t="shared" si="0"/>
        <v>33637.927828486943</v>
      </c>
      <c r="M37" s="406">
        <f t="shared" si="12"/>
        <v>204070.09549282078</v>
      </c>
      <c r="N37" s="406">
        <f ca="1">IF($E$5=1,JUN!$F$12,IF($E$5=2,JUN!$G$12,IF($E$5=3,JUN!$H$12,"")))</f>
        <v>-2E-55</v>
      </c>
      <c r="O37" s="406">
        <f ca="1">IF($E$5=1,JUN!$F$21,IF($E$5=2,JUN!$G$21,IF($E$5=3,JUN!$H$21,"")))</f>
        <v>-2E-55</v>
      </c>
      <c r="P37" s="406">
        <f ca="1">IF($E$5=1,JUN!$F$30,IF($E$5=2,JUN!$G$30,IF($E$5=3,JUN!$H$30,"")))</f>
        <v>-2E-55</v>
      </c>
      <c r="Q37" s="406">
        <f ca="1">IF($E$5=1,JUN!$F$39,IF($E$5=2,JUN!$G$39,IF($E$5=3,JUN!$H$39,"")))</f>
        <v>-2E-55</v>
      </c>
      <c r="R37" s="406">
        <f ca="1">IF($E$5=1,JUN!$F$48,IF($E$5=2,JUN!$G$48,IF($E$5=3,JUN!$H$48,"")))</f>
        <v>-2E-55</v>
      </c>
      <c r="S37" s="406" t="str">
        <f>IF(JUN!$H$53=-1E-55,"",IF($E$5=1,JUN!$F$52,IF($E$5=2,JUN!$G$52,IF($E$5=3,JUN!$H$52,""))))</f>
        <v/>
      </c>
      <c r="T37" s="406">
        <f t="shared" ca="1" si="1"/>
        <v>-1E-54</v>
      </c>
      <c r="U37" s="415">
        <f ca="1">IF($G37&lt;0.0011,0,VLOOKUP($B$12,JUN!$C$4:$AA$56,25)-VLOOKUP($B$12-1,JUN!$C$4:$AA$56,25))</f>
        <v>0</v>
      </c>
      <c r="V37" s="408">
        <f ca="1">IF($B$12&lt;D37-1,0,IF($B$12&gt;D38-1,0,VLOOKUP($B$12,JUN!$C$4:$AA$56,3)))</f>
        <v>0</v>
      </c>
      <c r="W37" s="171">
        <f t="shared" ca="1" si="13"/>
        <v>0</v>
      </c>
      <c r="X37" s="171">
        <f t="shared" si="2"/>
        <v>672.75855656973886</v>
      </c>
      <c r="Y37" s="172">
        <f t="shared" ca="1" si="14"/>
        <v>0</v>
      </c>
      <c r="Z37" s="79">
        <f t="shared" ca="1" si="15"/>
        <v>-336.37927828486943</v>
      </c>
      <c r="AA37" s="409">
        <f t="shared" ca="1" si="3"/>
        <v>-1E-54</v>
      </c>
      <c r="AB37" s="410">
        <f t="shared" ca="1" si="16"/>
        <v>-1</v>
      </c>
      <c r="AC37" s="95">
        <f t="shared" si="4"/>
        <v>214</v>
      </c>
      <c r="AD37" s="410">
        <f t="shared" ca="1" si="17"/>
        <v>-1</v>
      </c>
      <c r="AE37" s="411" t="str">
        <f>HLOOKUP(Q$21,BJ$30:$BR$43,BI37)</f>
        <v>Jun.</v>
      </c>
      <c r="AF37" s="412">
        <f>JUN!$L$53</f>
        <v>0</v>
      </c>
      <c r="AG37" s="412">
        <f>JUN!$L$54</f>
        <v>0</v>
      </c>
      <c r="AH37" s="412">
        <f>JUN!$L$55</f>
        <v>0</v>
      </c>
      <c r="AI37" s="412" t="str">
        <f>JUN!$L$56</f>
        <v/>
      </c>
      <c r="AJ37" s="412" t="str">
        <f>JUN!$L$57</f>
        <v/>
      </c>
      <c r="AK37" s="412">
        <f>JUN!$L$59</f>
        <v>0</v>
      </c>
      <c r="AL37" s="413">
        <f>JUN!L$40</f>
        <v>0</v>
      </c>
      <c r="AM37" s="400">
        <f>IFERROR(JUN!$M$53,"zero")</f>
        <v>0</v>
      </c>
      <c r="AN37" s="400">
        <f>IFERROR(JUN!$M$54,"zero")</f>
        <v>0</v>
      </c>
      <c r="AO37" s="400">
        <f>IFERROR(JUN!$M$55,"zero")</f>
        <v>0</v>
      </c>
      <c r="AP37" s="400" t="str">
        <f>IFERROR(JUN!$M$56,"zero")</f>
        <v/>
      </c>
      <c r="AQ37" s="400" t="str">
        <f>IFERROR(JUN!$M$57,"zero")</f>
        <v/>
      </c>
      <c r="AR37" s="400">
        <f t="shared" si="5"/>
        <v>0</v>
      </c>
      <c r="AS37" s="79"/>
      <c r="AT37" s="79"/>
      <c r="AU37" s="79"/>
      <c r="AV37" s="79"/>
      <c r="AW37" s="79"/>
      <c r="AX37" s="95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>
        <v>8</v>
      </c>
      <c r="BJ37" s="414" t="s">
        <v>76</v>
      </c>
      <c r="BK37" s="414" t="s">
        <v>76</v>
      </c>
      <c r="BL37" s="414" t="s">
        <v>76</v>
      </c>
      <c r="BM37" s="414" t="s">
        <v>76</v>
      </c>
      <c r="BN37" s="414" t="s">
        <v>76</v>
      </c>
      <c r="BO37" s="414" t="s">
        <v>159</v>
      </c>
      <c r="BP37" s="414" t="s">
        <v>158</v>
      </c>
      <c r="BQ37" s="414" t="s">
        <v>177</v>
      </c>
      <c r="BR37" s="414" t="s">
        <v>403</v>
      </c>
      <c r="BS37" s="272"/>
    </row>
    <row r="38" spans="1:71" ht="26">
      <c r="A38" s="76"/>
      <c r="B38" s="394">
        <v>7</v>
      </c>
      <c r="C38" s="167">
        <f t="shared" si="6"/>
        <v>45474</v>
      </c>
      <c r="D38" s="403">
        <f t="shared" si="7"/>
        <v>45474</v>
      </c>
      <c r="E38" s="404" t="str">
        <f t="shared" si="8"/>
        <v>Jul.</v>
      </c>
      <c r="F38" s="95">
        <v>31</v>
      </c>
      <c r="G38" s="405">
        <f t="shared" ca="1" si="9"/>
        <v>-1E-54</v>
      </c>
      <c r="H38" s="406">
        <f t="shared" ca="1" si="10"/>
        <v>-7.0000000000000008E-54</v>
      </c>
      <c r="I38" s="406">
        <f>JUL!H$55</f>
        <v>0</v>
      </c>
      <c r="J38" s="406">
        <f t="shared" si="18"/>
        <v>0</v>
      </c>
      <c r="K38" s="406">
        <f t="shared" si="11"/>
        <v>238829.2875822573</v>
      </c>
      <c r="L38" s="406">
        <f t="shared" si="0"/>
        <v>34759.192089436503</v>
      </c>
      <c r="M38" s="406">
        <f t="shared" si="12"/>
        <v>238829.2875822573</v>
      </c>
      <c r="N38" s="406">
        <f ca="1">IF($E$5=1,JUL!$F$12,IF($E$5=2,JUL!$G$12,IF($E$5=3,JUL!$H$12,"")))</f>
        <v>-2E-55</v>
      </c>
      <c r="O38" s="406">
        <f ca="1">IF($E$5=1,JUL!$F$21,IF($E$5=2,JUL!$G$21,IF($E$5=3,JUL!$H$21,"")))</f>
        <v>-2E-55</v>
      </c>
      <c r="P38" s="406">
        <f ca="1">IF($E$5=1,JUL!$F$30,IF($E$5=2,JUL!$G$30,IF($E$5=3,JUL!$H$30,"")))</f>
        <v>-2E-55</v>
      </c>
      <c r="Q38" s="406">
        <f ca="1">IF($E$5=1,JUL!$F$39,IF($E$5=2,JUL!$G$39,IF($E$5=3,JUL!$H$39,"")))</f>
        <v>-2E-55</v>
      </c>
      <c r="R38" s="406">
        <f ca="1">IF($E$5=1,JUL!$F$48,IF($E$5=2,JUL!$G$48,IF($E$5=3,JUL!$H$48,"")))</f>
        <v>-2E-55</v>
      </c>
      <c r="S38" s="406" t="str">
        <f>IF(JUL!$H$53=-1E-55,"",IF($E$5=1,JUL!$F$52,IF($E$5=2,JUL!$G$52,IF($E$5=3,JUL!$H$52,""))))</f>
        <v/>
      </c>
      <c r="T38" s="406">
        <f t="shared" ca="1" si="1"/>
        <v>-1E-54</v>
      </c>
      <c r="U38" s="415">
        <f ca="1">IF($G38&lt;0.0011,0,VLOOKUP($B$12,JUL!$C$4:$AA$56,25)-VLOOKUP($B$12-1,JUL!$C$4:$AA$56,25))</f>
        <v>0</v>
      </c>
      <c r="V38" s="408">
        <f ca="1">IF($B$12&lt;D38-1,0,IF($B$12&gt;D39-1,0,VLOOKUP($B$12,JUL!$C$4:$AA$56,3)))</f>
        <v>0</v>
      </c>
      <c r="W38" s="171">
        <f t="shared" ca="1" si="13"/>
        <v>0</v>
      </c>
      <c r="X38" s="171">
        <f t="shared" si="2"/>
        <v>695.18384178873009</v>
      </c>
      <c r="Y38" s="172">
        <f t="shared" ca="1" si="14"/>
        <v>0</v>
      </c>
      <c r="Z38" s="79">
        <f t="shared" ca="1" si="15"/>
        <v>-347.59192089436505</v>
      </c>
      <c r="AA38" s="409">
        <f t="shared" ca="1" si="3"/>
        <v>-1E-54</v>
      </c>
      <c r="AB38" s="410">
        <f t="shared" ca="1" si="16"/>
        <v>-1</v>
      </c>
      <c r="AC38" s="95">
        <f t="shared" si="4"/>
        <v>184</v>
      </c>
      <c r="AD38" s="410">
        <f t="shared" ca="1" si="17"/>
        <v>-1</v>
      </c>
      <c r="AE38" s="411" t="str">
        <f>HLOOKUP(Q$21,BJ$30:$BR$43,BI38)</f>
        <v>Jul.</v>
      </c>
      <c r="AF38" s="412">
        <f>JUL!$L$53</f>
        <v>0</v>
      </c>
      <c r="AG38" s="412">
        <f>JUL!$L$54</f>
        <v>0</v>
      </c>
      <c r="AH38" s="412">
        <f>JUL!$L$55</f>
        <v>0</v>
      </c>
      <c r="AI38" s="412" t="str">
        <f>JUL!$L$56</f>
        <v/>
      </c>
      <c r="AJ38" s="412" t="str">
        <f>JUL!$L$57</f>
        <v/>
      </c>
      <c r="AK38" s="412">
        <f>JUL!$L$59</f>
        <v>0</v>
      </c>
      <c r="AL38" s="413">
        <f>JUL!L$40</f>
        <v>0</v>
      </c>
      <c r="AM38" s="400">
        <f>IFERROR(JUL!$M$53,"zero")</f>
        <v>0</v>
      </c>
      <c r="AN38" s="400">
        <f>IFERROR(JUL!$M$54,"zero")</f>
        <v>0</v>
      </c>
      <c r="AO38" s="400">
        <f>IFERROR(JUL!$M$55,"zero")</f>
        <v>0</v>
      </c>
      <c r="AP38" s="400" t="str">
        <f>IFERROR(JUL!$M$56,"zero")</f>
        <v/>
      </c>
      <c r="AQ38" s="400" t="str">
        <f>IFERROR(JUL!$M$57,"zero")</f>
        <v/>
      </c>
      <c r="AR38" s="400">
        <f t="shared" ref="AR38:AR43" si="20">SUM(AM38:AQ38)</f>
        <v>0</v>
      </c>
      <c r="AS38" s="79"/>
      <c r="AT38" s="79"/>
      <c r="AU38" s="79"/>
      <c r="AV38" s="79"/>
      <c r="AW38" s="79"/>
      <c r="AX38" s="95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>
        <v>9</v>
      </c>
      <c r="BJ38" s="414" t="s">
        <v>77</v>
      </c>
      <c r="BK38" s="414" t="s">
        <v>77</v>
      </c>
      <c r="BL38" s="414" t="s">
        <v>77</v>
      </c>
      <c r="BM38" s="414" t="s">
        <v>77</v>
      </c>
      <c r="BN38" s="414" t="s">
        <v>77</v>
      </c>
      <c r="BO38" s="414" t="s">
        <v>160</v>
      </c>
      <c r="BP38" s="414" t="s">
        <v>161</v>
      </c>
      <c r="BQ38" s="414" t="s">
        <v>178</v>
      </c>
      <c r="BR38" s="414" t="s">
        <v>404</v>
      </c>
      <c r="BS38" s="272"/>
    </row>
    <row r="39" spans="1:71" ht="26">
      <c r="A39" s="76"/>
      <c r="B39" s="394">
        <v>8</v>
      </c>
      <c r="C39" s="167">
        <f t="shared" si="6"/>
        <v>45502</v>
      </c>
      <c r="D39" s="403">
        <f t="shared" si="7"/>
        <v>45505</v>
      </c>
      <c r="E39" s="404" t="str">
        <f t="shared" si="8"/>
        <v>Aug.</v>
      </c>
      <c r="F39" s="95">
        <v>31</v>
      </c>
      <c r="G39" s="405">
        <f t="shared" ca="1" si="9"/>
        <v>-1E-54</v>
      </c>
      <c r="H39" s="406">
        <f t="shared" ca="1" si="10"/>
        <v>-8.0000000000000002E-54</v>
      </c>
      <c r="I39" s="406">
        <f>AUG!H$55</f>
        <v>0</v>
      </c>
      <c r="J39" s="406">
        <f t="shared" si="18"/>
        <v>0</v>
      </c>
      <c r="K39" s="406">
        <f t="shared" si="11"/>
        <v>273588.47967169381</v>
      </c>
      <c r="L39" s="406">
        <f t="shared" si="0"/>
        <v>34759.192089436503</v>
      </c>
      <c r="M39" s="406">
        <f t="shared" si="12"/>
        <v>273588.47967169381</v>
      </c>
      <c r="N39" s="406">
        <f ca="1">IF($E$5=1,AUG!$F$12,IF($E$5=2,AUG!$G$12,IF($E$5=3,AUG!$H$12,"")))</f>
        <v>-2E-55</v>
      </c>
      <c r="O39" s="406">
        <f ca="1">IF($E$5=1,AUG!$F$21,IF($E$5=2,AUG!$G$21,IF($E$5=3,AUG!$H$21,"")))</f>
        <v>-2E-55</v>
      </c>
      <c r="P39" s="406">
        <f ca="1">IF($E$5=1,AUG!$F$30,IF($E$5=2,AUG!$G$30,IF($E$5=3,AUG!$H$30,"")))</f>
        <v>-2E-55</v>
      </c>
      <c r="Q39" s="406">
        <f ca="1">IF($E$5=1,AUG!$F$39,IF($E$5=2,AUG!$G$39,IF($E$5=3,AUG!$H$39,"")))</f>
        <v>-2E-55</v>
      </c>
      <c r="R39" s="406">
        <f ca="1">IF($E$5=1,AUG!$F$48,IF($E$5=2,AUG!$G$48,IF($E$5=3,AUG!$H$48,"")))</f>
        <v>-2E-55</v>
      </c>
      <c r="S39" s="406" t="str">
        <f>IF(AUG!$H$53=-1E-55,"",IF($E$5=1,AUG!$F$52,IF($E$5=2,AUG!$G$52,IF($E$5=3,AUG!$H$52,""))))</f>
        <v/>
      </c>
      <c r="T39" s="406">
        <f t="shared" ca="1" si="1"/>
        <v>-1E-54</v>
      </c>
      <c r="U39" s="415">
        <f ca="1">IF($G39&lt;0.0011,0,VLOOKUP($B$12,AUG!$C$4:$AA$56,25)-VLOOKUP($B$12-1,AUG!$C$4:$AA$56,25))</f>
        <v>0</v>
      </c>
      <c r="V39" s="408">
        <f ca="1">IF($B$12&lt;D39-1,0,IF($B$12&gt;D40-1,0,VLOOKUP($B$12,AUG!$C$4:$AA$56,3)))</f>
        <v>0</v>
      </c>
      <c r="W39" s="171">
        <f t="shared" ca="1" si="13"/>
        <v>0</v>
      </c>
      <c r="X39" s="171">
        <f t="shared" si="2"/>
        <v>695.18384178873009</v>
      </c>
      <c r="Y39" s="172">
        <f t="shared" ca="1" si="14"/>
        <v>0</v>
      </c>
      <c r="Z39" s="79">
        <f t="shared" ca="1" si="15"/>
        <v>-347.59192089436505</v>
      </c>
      <c r="AA39" s="409">
        <f t="shared" ca="1" si="3"/>
        <v>-1E-54</v>
      </c>
      <c r="AB39" s="410">
        <f t="shared" ca="1" si="16"/>
        <v>-1</v>
      </c>
      <c r="AC39" s="95">
        <f t="shared" si="4"/>
        <v>153</v>
      </c>
      <c r="AD39" s="410">
        <f t="shared" ca="1" si="17"/>
        <v>-1</v>
      </c>
      <c r="AE39" s="411" t="str">
        <f>HLOOKUP(Q$21,BJ$30:$BR$43,BI39)</f>
        <v>Aug.</v>
      </c>
      <c r="AF39" s="412">
        <f>AUG!$L$53</f>
        <v>0</v>
      </c>
      <c r="AG39" s="412">
        <f>AUG!$L$54</f>
        <v>0</v>
      </c>
      <c r="AH39" s="412">
        <f>AUG!$L$55</f>
        <v>0</v>
      </c>
      <c r="AI39" s="412" t="str">
        <f>AUG!$L$56</f>
        <v/>
      </c>
      <c r="AJ39" s="412" t="str">
        <f>AUG!$L$57</f>
        <v/>
      </c>
      <c r="AK39" s="412">
        <f>AUG!$L$59</f>
        <v>0</v>
      </c>
      <c r="AL39" s="413">
        <f>AUG!L$40</f>
        <v>0</v>
      </c>
      <c r="AM39" s="400">
        <f>IFERROR(AUG!$M$53,"zero")</f>
        <v>0</v>
      </c>
      <c r="AN39" s="400">
        <f>IFERROR(AUG!$M$54,"zero")</f>
        <v>0</v>
      </c>
      <c r="AO39" s="400">
        <f>IFERROR(AUG!$M$55,"zero")</f>
        <v>0</v>
      </c>
      <c r="AP39" s="400" t="str">
        <f>IFERROR(AUG!$M$56,"zero")</f>
        <v/>
      </c>
      <c r="AQ39" s="400" t="str">
        <f>IFERROR(AUG!$M$57,"zero")</f>
        <v/>
      </c>
      <c r="AR39" s="400">
        <f t="shared" si="20"/>
        <v>0</v>
      </c>
      <c r="AS39" s="79"/>
      <c r="AT39" s="79"/>
      <c r="AU39" s="79"/>
      <c r="AV39" s="79"/>
      <c r="AW39" s="79"/>
      <c r="AX39" s="95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>
        <v>10</v>
      </c>
      <c r="BJ39" s="414" t="s">
        <v>78</v>
      </c>
      <c r="BK39" s="414" t="s">
        <v>146</v>
      </c>
      <c r="BL39" s="414" t="s">
        <v>78</v>
      </c>
      <c r="BM39" s="414" t="s">
        <v>146</v>
      </c>
      <c r="BN39" s="414" t="s">
        <v>145</v>
      </c>
      <c r="BO39" s="414" t="s">
        <v>146</v>
      </c>
      <c r="BP39" s="414" t="s">
        <v>162</v>
      </c>
      <c r="BQ39" s="414" t="s">
        <v>179</v>
      </c>
      <c r="BR39" s="414" t="s">
        <v>405</v>
      </c>
      <c r="BS39" s="272"/>
    </row>
    <row r="40" spans="1:71" ht="26">
      <c r="A40" s="76"/>
      <c r="B40" s="394">
        <v>9</v>
      </c>
      <c r="C40" s="167">
        <f t="shared" si="6"/>
        <v>45530</v>
      </c>
      <c r="D40" s="403">
        <f t="shared" si="7"/>
        <v>45536</v>
      </c>
      <c r="E40" s="404" t="str">
        <f t="shared" si="8"/>
        <v>Sep.</v>
      </c>
      <c r="F40" s="95">
        <v>30</v>
      </c>
      <c r="G40" s="405">
        <f t="shared" ca="1" si="9"/>
        <v>-1.2000000000000001E-54</v>
      </c>
      <c r="H40" s="406">
        <f t="shared" ca="1" si="10"/>
        <v>-9.2000000000000007E-54</v>
      </c>
      <c r="I40" s="406">
        <f>SEP!H$55</f>
        <v>0</v>
      </c>
      <c r="J40" s="406">
        <f t="shared" si="18"/>
        <v>0</v>
      </c>
      <c r="K40" s="406">
        <f t="shared" si="11"/>
        <v>307226.40750018077</v>
      </c>
      <c r="L40" s="406">
        <f t="shared" si="0"/>
        <v>33637.927828486943</v>
      </c>
      <c r="M40" s="406">
        <f t="shared" si="12"/>
        <v>307226.40750018077</v>
      </c>
      <c r="N40" s="406">
        <f ca="1">IF($E$5=1,SEP!$F$12,IF($E$5=2,SEP!$G$12,IF($E$5=3,SEP!$H$12,"")))</f>
        <v>-2E-55</v>
      </c>
      <c r="O40" s="406">
        <f ca="1">IF($E$5=1,SEP!$F$21,IF($E$5=2,SEP!$G$21,IF($E$5=3,SEP!$H$21,"")))</f>
        <v>-2E-55</v>
      </c>
      <c r="P40" s="406">
        <f ca="1">IF($E$5=1,SEP!$F$30,IF($E$5=2,SEP!$G$30,IF($E$5=3,SEP!$H$30,"")))</f>
        <v>-2E-55</v>
      </c>
      <c r="Q40" s="406">
        <f ca="1">IF($E$5=1,SEP!$F$39,IF($E$5=2,SEP!$G$39,IF($E$5=3,SEP!$H$39,"")))</f>
        <v>-2E-55</v>
      </c>
      <c r="R40" s="406">
        <f ca="1">IF($E$5=1,SEP!$F$48,IF($E$5=2,SEP!$G$48,IF($E$5=3,SEP!$H$48,"")))</f>
        <v>-2E-55</v>
      </c>
      <c r="S40" s="406">
        <f ca="1">IF(SEP!$H$53=-1E-55,"",IF($E$5=1,SEP!$F$52,IF($E$5=2,SEP!$G$52,IF($E$5=3,SEP!$H$52,""))))</f>
        <v>-2E-55</v>
      </c>
      <c r="T40" s="406">
        <f t="shared" ca="1" si="1"/>
        <v>-1.2000000000000001E-54</v>
      </c>
      <c r="U40" s="415">
        <f ca="1">IF($G40&lt;0.0011,0,VLOOKUP($B$12,SEP!$C$4:$AA$56,25)-VLOOKUP($B$12-1,SEP!$C$4:$AA$56,25))</f>
        <v>0</v>
      </c>
      <c r="V40" s="408">
        <f ca="1">IF($B$12&lt;D40-1,0,IF($B$12&gt;D41-1,0,VLOOKUP($B$12,SEP!$C$4:$AA$56,3)))</f>
        <v>0</v>
      </c>
      <c r="W40" s="171">
        <f t="shared" ca="1" si="13"/>
        <v>0</v>
      </c>
      <c r="X40" s="171">
        <f t="shared" si="2"/>
        <v>672.75855656973886</v>
      </c>
      <c r="Y40" s="172">
        <f t="shared" ca="1" si="14"/>
        <v>0</v>
      </c>
      <c r="Z40" s="79">
        <f t="shared" ca="1" si="15"/>
        <v>-336.37927828486943</v>
      </c>
      <c r="AA40" s="409">
        <f t="shared" ca="1" si="3"/>
        <v>-1.2000000000000001E-54</v>
      </c>
      <c r="AB40" s="410">
        <f t="shared" ca="1" si="16"/>
        <v>-1</v>
      </c>
      <c r="AC40" s="95">
        <f t="shared" si="4"/>
        <v>122</v>
      </c>
      <c r="AD40" s="410">
        <f t="shared" ca="1" si="17"/>
        <v>-1</v>
      </c>
      <c r="AE40" s="411" t="str">
        <f>HLOOKUP(Q$21,BJ$30:$BR$43,BI40)</f>
        <v>Sep.</v>
      </c>
      <c r="AF40" s="412">
        <f>SEP!$L$53</f>
        <v>0</v>
      </c>
      <c r="AG40" s="412">
        <f>SEP!$L$54</f>
        <v>0</v>
      </c>
      <c r="AH40" s="412">
        <f>SEP!$L$55</f>
        <v>0</v>
      </c>
      <c r="AI40" s="412" t="str">
        <f>SEP!$L$56</f>
        <v/>
      </c>
      <c r="AJ40" s="412" t="str">
        <f>SEP!$L$57</f>
        <v/>
      </c>
      <c r="AK40" s="412">
        <f>SEP!$L$59</f>
        <v>0</v>
      </c>
      <c r="AL40" s="413">
        <f>SEP!L$40</f>
        <v>0</v>
      </c>
      <c r="AM40" s="400">
        <f>IFERROR(SEP!$M$53,"zero")</f>
        <v>0</v>
      </c>
      <c r="AN40" s="400">
        <f>IFERROR(SEP!$M$54,"zero")</f>
        <v>0</v>
      </c>
      <c r="AO40" s="400">
        <f>IFERROR(SEP!$M$55,"zero")</f>
        <v>0</v>
      </c>
      <c r="AP40" s="400" t="str">
        <f>IFERROR(SEP!$M$56,"zero")</f>
        <v/>
      </c>
      <c r="AQ40" s="400" t="str">
        <f>IFERROR(SEP!$M$57,"zero")</f>
        <v/>
      </c>
      <c r="AR40" s="400">
        <f t="shared" si="20"/>
        <v>0</v>
      </c>
      <c r="AS40" s="79"/>
      <c r="AT40" s="79"/>
      <c r="AU40" s="79"/>
      <c r="AV40" s="79"/>
      <c r="AW40" s="79"/>
      <c r="AX40" s="95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>
        <v>11</v>
      </c>
      <c r="BJ40" s="414" t="s">
        <v>79</v>
      </c>
      <c r="BK40" s="414" t="s">
        <v>163</v>
      </c>
      <c r="BL40" s="414" t="s">
        <v>79</v>
      </c>
      <c r="BM40" s="414" t="s">
        <v>79</v>
      </c>
      <c r="BN40" s="414" t="s">
        <v>79</v>
      </c>
      <c r="BO40" s="414" t="s">
        <v>163</v>
      </c>
      <c r="BP40" s="414" t="s">
        <v>164</v>
      </c>
      <c r="BQ40" s="414" t="s">
        <v>180</v>
      </c>
      <c r="BR40" s="414" t="s">
        <v>406</v>
      </c>
      <c r="BS40" s="272"/>
    </row>
    <row r="41" spans="1:71" ht="35" customHeight="1">
      <c r="A41" s="76"/>
      <c r="B41" s="394">
        <v>10</v>
      </c>
      <c r="C41" s="167">
        <f t="shared" si="6"/>
        <v>45565</v>
      </c>
      <c r="D41" s="403">
        <f t="shared" si="7"/>
        <v>45566</v>
      </c>
      <c r="E41" s="404" t="str">
        <f t="shared" si="8"/>
        <v>Oct.</v>
      </c>
      <c r="F41" s="95">
        <v>31</v>
      </c>
      <c r="G41" s="405">
        <f t="shared" ca="1" si="9"/>
        <v>-1E-54</v>
      </c>
      <c r="H41" s="406">
        <f t="shared" ca="1" si="10"/>
        <v>-1.0200000000000001E-53</v>
      </c>
      <c r="I41" s="406">
        <f>OCT!H$55</f>
        <v>0</v>
      </c>
      <c r="J41" s="406">
        <f t="shared" si="18"/>
        <v>0</v>
      </c>
      <c r="K41" s="406">
        <f t="shared" si="11"/>
        <v>341985.59958961728</v>
      </c>
      <c r="L41" s="406">
        <f t="shared" si="0"/>
        <v>34759.192089436503</v>
      </c>
      <c r="M41" s="406">
        <f t="shared" si="12"/>
        <v>341985.59958961728</v>
      </c>
      <c r="N41" s="406">
        <f ca="1">IF($E$5=1,OCT!$F$12,IF($E$5=2,OCT!$G$12,IF($E$5=3,OCT!$H$12,"")))</f>
        <v>-2E-55</v>
      </c>
      <c r="O41" s="406">
        <f ca="1">IF($E$5=1,OCT!$F$21,IF($E$5=2,OCT!$G$21,IF($E$5=3,OCT!$H$21,"")))</f>
        <v>-2E-55</v>
      </c>
      <c r="P41" s="406">
        <f ca="1">IF($E$5=1,OCT!$F$30,IF($E$5=2,OCT!$G$30,IF($E$5=3,OCT!$H$30,"")))</f>
        <v>-2E-55</v>
      </c>
      <c r="Q41" s="406">
        <f ca="1">IF($E$5=1,OCT!$F$39,IF($E$5=2,OCT!$G$39,IF($E$5=3,OCT!$H$39,"")))</f>
        <v>-2E-55</v>
      </c>
      <c r="R41" s="406">
        <f ca="1">IF($E$5=1,OCT!$F$48,IF($E$5=2,OCT!$G$48,IF($E$5=3,OCT!$H$48,"")))</f>
        <v>-2E-55</v>
      </c>
      <c r="S41" s="406" t="str">
        <f>IF(OCT!$H$53=-1E-55,"",IF($E$5=1,OCT!$F$52,IF($E$5=2,OCT!$G$52,IF($E$5=3,OCT!$H$52,""))))</f>
        <v/>
      </c>
      <c r="T41" s="406">
        <f t="shared" ca="1" si="1"/>
        <v>-1E-54</v>
      </c>
      <c r="U41" s="415">
        <f ca="1">IF($G41&lt;0.0011,0,VLOOKUP($B$12,OCT!$C$4:$AA$56,25)-VLOOKUP($B$12-1,OCT!$C$4:$AA$56,25))</f>
        <v>0</v>
      </c>
      <c r="V41" s="408">
        <f ca="1">IF($B$12&lt;D41-1,0,IF($B$12&gt;D42-1,0,VLOOKUP($B$12,OCT!$C$4:$AA$56,3)))</f>
        <v>0</v>
      </c>
      <c r="W41" s="171">
        <f t="shared" ca="1" si="13"/>
        <v>0</v>
      </c>
      <c r="X41" s="171">
        <f t="shared" si="2"/>
        <v>695.18384178873009</v>
      </c>
      <c r="Y41" s="172">
        <f t="shared" ca="1" si="14"/>
        <v>0</v>
      </c>
      <c r="Z41" s="79">
        <f t="shared" ca="1" si="15"/>
        <v>-347.59192089436505</v>
      </c>
      <c r="AA41" s="409">
        <f t="shared" ca="1" si="3"/>
        <v>-1E-54</v>
      </c>
      <c r="AB41" s="410">
        <f t="shared" ca="1" si="16"/>
        <v>-1</v>
      </c>
      <c r="AC41" s="95">
        <f t="shared" si="4"/>
        <v>92</v>
      </c>
      <c r="AD41" s="410">
        <f t="shared" ca="1" si="17"/>
        <v>-1</v>
      </c>
      <c r="AE41" s="411" t="str">
        <f>HLOOKUP(Q$21,BJ$30:$BR$43,BI41)</f>
        <v>Oct.</v>
      </c>
      <c r="AF41" s="412">
        <f>OCT!$L$53</f>
        <v>0</v>
      </c>
      <c r="AG41" s="412">
        <f>OCT!$L$54</f>
        <v>0</v>
      </c>
      <c r="AH41" s="412">
        <f>OCT!$L$55</f>
        <v>0</v>
      </c>
      <c r="AI41" s="412" t="str">
        <f>OCT!$L$56</f>
        <v/>
      </c>
      <c r="AJ41" s="412" t="str">
        <f>OCT!$L$57</f>
        <v/>
      </c>
      <c r="AK41" s="412">
        <f>OCT!$L$59</f>
        <v>0</v>
      </c>
      <c r="AL41" s="413">
        <f>OCT!L$40</f>
        <v>0</v>
      </c>
      <c r="AM41" s="400">
        <f>IFERROR(OCT!$M$53,"zero")</f>
        <v>0</v>
      </c>
      <c r="AN41" s="400">
        <f>IFERROR(OCT!$M$54,"zero")</f>
        <v>0</v>
      </c>
      <c r="AO41" s="400">
        <f>IFERROR(OCT!$M$55,"zero")</f>
        <v>0</v>
      </c>
      <c r="AP41" s="400" t="str">
        <f>IFERROR(OCT!$M$56,"zero")</f>
        <v/>
      </c>
      <c r="AQ41" s="400" t="str">
        <f>IFERROR(OCT!$M$57,"zero")</f>
        <v/>
      </c>
      <c r="AR41" s="400">
        <f t="shared" si="20"/>
        <v>0</v>
      </c>
      <c r="AS41" s="79"/>
      <c r="AT41" s="79"/>
      <c r="AU41" s="79"/>
      <c r="AV41" s="79"/>
      <c r="AW41" s="79"/>
      <c r="AX41" s="95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>
        <v>12</v>
      </c>
      <c r="BJ41" s="414" t="s">
        <v>80</v>
      </c>
      <c r="BK41" s="414" t="s">
        <v>170</v>
      </c>
      <c r="BL41" s="414" t="s">
        <v>166</v>
      </c>
      <c r="BM41" s="414" t="s">
        <v>80</v>
      </c>
      <c r="BN41" s="414" t="s">
        <v>80</v>
      </c>
      <c r="BO41" s="414" t="s">
        <v>167</v>
      </c>
      <c r="BP41" s="414" t="s">
        <v>165</v>
      </c>
      <c r="BQ41" s="414" t="s">
        <v>181</v>
      </c>
      <c r="BR41" s="414" t="s">
        <v>407</v>
      </c>
      <c r="BS41" s="272"/>
    </row>
    <row r="42" spans="1:71" ht="25" customHeight="1">
      <c r="A42" s="76"/>
      <c r="B42" s="394">
        <v>11</v>
      </c>
      <c r="C42" s="167">
        <f t="shared" si="6"/>
        <v>45593</v>
      </c>
      <c r="D42" s="403">
        <f t="shared" si="7"/>
        <v>45597</v>
      </c>
      <c r="E42" s="404" t="str">
        <f t="shared" si="8"/>
        <v>Nov.</v>
      </c>
      <c r="F42" s="95">
        <v>30</v>
      </c>
      <c r="G42" s="405">
        <f t="shared" ca="1" si="9"/>
        <v>-1E-54</v>
      </c>
      <c r="H42" s="406">
        <f t="shared" ca="1" si="10"/>
        <v>-1.1200000000000001E-53</v>
      </c>
      <c r="I42" s="406">
        <f>NOV!H$55</f>
        <v>0</v>
      </c>
      <c r="J42" s="406">
        <f t="shared" si="18"/>
        <v>0</v>
      </c>
      <c r="K42" s="406">
        <f t="shared" si="11"/>
        <v>375623.52741810423</v>
      </c>
      <c r="L42" s="406">
        <f t="shared" si="0"/>
        <v>33637.927828486943</v>
      </c>
      <c r="M42" s="406">
        <f t="shared" si="12"/>
        <v>375623.52741810423</v>
      </c>
      <c r="N42" s="406">
        <f ca="1">IF($E$5=1,NOV!$F$12,IF($E$5=2,NOV!$G$12,IF($E$5=3,NOV!$H$12,"")))</f>
        <v>-2E-55</v>
      </c>
      <c r="O42" s="406">
        <f ca="1">IF($E$5=1,NOV!$F$21,IF($E$5=2,NOV!$G$21,IF($E$5=3,NOV!$H$21,"")))</f>
        <v>-2E-55</v>
      </c>
      <c r="P42" s="406">
        <f ca="1">IF($E$5=1,NOV!$F$30,IF($E$5=2,NOV!$G$30,IF($E$5=3,NOV!$H$30,"")))</f>
        <v>-2E-55</v>
      </c>
      <c r="Q42" s="406">
        <f ca="1">IF($E$5=1,NOV!$F$39,IF($E$5=2,NOV!$G$39,IF($E$5=3,NOV!$H$39,"")))</f>
        <v>-2E-55</v>
      </c>
      <c r="R42" s="406">
        <f ca="1">IF($E$5=1,NOV!$F$48,IF($E$5=2,NOV!$G$48,IF($E$5=3,NOV!$H$48,"")))</f>
        <v>-2E-55</v>
      </c>
      <c r="S42" s="406" t="str">
        <f>IF(NOV!$H$53=-1E-55,"",IF($E$5=1,NOV!$F$52,IF($E$5=2,NOV!$G$52,IF($E$5=3,NOV!$H$52,""))))</f>
        <v/>
      </c>
      <c r="T42" s="406">
        <f t="shared" ca="1" si="1"/>
        <v>-1E-54</v>
      </c>
      <c r="U42" s="415">
        <f ca="1">IF($G42&lt;0.0011,0,VLOOKUP($B$12,NOV!$C$4:$AA$56,25)-VLOOKUP($B$12-1,NOV!$C$4:$AA$56,25))</f>
        <v>0</v>
      </c>
      <c r="V42" s="408">
        <f ca="1">IF($B$12&lt;D42-1,0,IF($B$12&gt;D43-1,0,VLOOKUP($B$12,NOV!$C$4:$AA$56,3)))</f>
        <v>0</v>
      </c>
      <c r="W42" s="171">
        <f t="shared" ca="1" si="13"/>
        <v>0</v>
      </c>
      <c r="X42" s="171">
        <f t="shared" si="2"/>
        <v>672.75855656973886</v>
      </c>
      <c r="Y42" s="172">
        <f t="shared" ca="1" si="14"/>
        <v>0</v>
      </c>
      <c r="Z42" s="79">
        <f t="shared" ca="1" si="15"/>
        <v>-336.37927828486943</v>
      </c>
      <c r="AA42" s="409">
        <f t="shared" ca="1" si="3"/>
        <v>-1E-54</v>
      </c>
      <c r="AB42" s="410">
        <f t="shared" ca="1" si="16"/>
        <v>-1</v>
      </c>
      <c r="AC42" s="95">
        <f t="shared" si="4"/>
        <v>61</v>
      </c>
      <c r="AD42" s="410">
        <f t="shared" ca="1" si="17"/>
        <v>-1</v>
      </c>
      <c r="AE42" s="411" t="str">
        <f>HLOOKUP(Q$21,BJ$30:$BR$43,BI42)</f>
        <v>Nov.</v>
      </c>
      <c r="AF42" s="412">
        <f>NOV!$L$53</f>
        <v>0</v>
      </c>
      <c r="AG42" s="412">
        <f>NOV!$L$54</f>
        <v>0</v>
      </c>
      <c r="AH42" s="412">
        <f>NOV!$L$55</f>
        <v>0</v>
      </c>
      <c r="AI42" s="412" t="str">
        <f>NOV!$L$56</f>
        <v/>
      </c>
      <c r="AJ42" s="412" t="str">
        <f>NOV!$L$57</f>
        <v/>
      </c>
      <c r="AK42" s="412">
        <f>NOV!$L$59</f>
        <v>0</v>
      </c>
      <c r="AL42" s="413">
        <f>NOV!L$40</f>
        <v>0</v>
      </c>
      <c r="AM42" s="400">
        <f>IFERROR(NOV!$M$53,"zero")</f>
        <v>0</v>
      </c>
      <c r="AN42" s="400">
        <f>IFERROR(NOV!$M$54,"zero")</f>
        <v>0</v>
      </c>
      <c r="AO42" s="400">
        <f>IFERROR(NOV!$M$55,"zero")</f>
        <v>0</v>
      </c>
      <c r="AP42" s="400" t="str">
        <f>IFERROR(NOV!$M$56,"zero")</f>
        <v/>
      </c>
      <c r="AQ42" s="400" t="str">
        <f>IFERROR(NOV!$M$57,"zero")</f>
        <v/>
      </c>
      <c r="AR42" s="400">
        <f t="shared" si="20"/>
        <v>0</v>
      </c>
      <c r="AS42" s="79"/>
      <c r="AT42" s="79"/>
      <c r="AU42" s="79"/>
      <c r="AV42" s="79"/>
      <c r="AW42" s="79"/>
      <c r="AX42" s="95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>
        <v>13</v>
      </c>
      <c r="BJ42" s="414" t="s">
        <v>81</v>
      </c>
      <c r="BK42" s="414" t="s">
        <v>81</v>
      </c>
      <c r="BL42" s="414" t="s">
        <v>81</v>
      </c>
      <c r="BM42" s="414" t="s">
        <v>81</v>
      </c>
      <c r="BN42" s="414" t="s">
        <v>81</v>
      </c>
      <c r="BO42" s="414" t="s">
        <v>81</v>
      </c>
      <c r="BP42" s="414" t="s">
        <v>267</v>
      </c>
      <c r="BQ42" s="414" t="s">
        <v>182</v>
      </c>
      <c r="BR42" s="414" t="s">
        <v>408</v>
      </c>
      <c r="BS42" s="272"/>
    </row>
    <row r="43" spans="1:71" ht="25" customHeight="1">
      <c r="A43" s="76"/>
      <c r="B43" s="394">
        <v>12</v>
      </c>
      <c r="C43" s="167">
        <f t="shared" si="6"/>
        <v>45621</v>
      </c>
      <c r="D43" s="403">
        <f t="shared" si="7"/>
        <v>45627</v>
      </c>
      <c r="E43" s="404" t="str">
        <f t="shared" si="8"/>
        <v>Dec.</v>
      </c>
      <c r="F43" s="95">
        <v>31</v>
      </c>
      <c r="G43" s="405">
        <f t="shared" ca="1" si="9"/>
        <v>-1.2000000000000001E-54</v>
      </c>
      <c r="H43" s="406">
        <f t="shared" ca="1" si="10"/>
        <v>-1.24E-53</v>
      </c>
      <c r="I43" s="406">
        <f>DEC!H$55</f>
        <v>0</v>
      </c>
      <c r="J43" s="406">
        <f t="shared" si="18"/>
        <v>0</v>
      </c>
      <c r="K43" s="406">
        <f t="shared" si="11"/>
        <v>410382.71950754075</v>
      </c>
      <c r="L43" s="406">
        <f t="shared" si="0"/>
        <v>34759.192089436503</v>
      </c>
      <c r="M43" s="406">
        <f t="shared" si="12"/>
        <v>410382.71950754075</v>
      </c>
      <c r="N43" s="406">
        <f ca="1">IF($E$5=1,DEC!$F$12,IF($E$5=2,DEC!$G$12,IF($E$5=3,DEC!$H$12,"")))</f>
        <v>-2E-55</v>
      </c>
      <c r="O43" s="406">
        <f ca="1">IF($E$5=1,DEC!$F$21,IF($E$5=2,DEC!$G$21,IF($E$5=3,DEC!$H$21,"")))</f>
        <v>-2E-55</v>
      </c>
      <c r="P43" s="406">
        <f ca="1">IF($E$5=1,DEC!$F$30,IF($E$5=2,DEC!$G$30,IF($E$5=3,DEC!$H$30,"")))</f>
        <v>-2E-55</v>
      </c>
      <c r="Q43" s="406">
        <f ca="1">IF($E$5=1,DEC!$F$39,IF($E$5=2,DEC!$G$39,IF($E$5=3,DEC!$H$39,"")))</f>
        <v>-2E-55</v>
      </c>
      <c r="R43" s="406">
        <f ca="1">IF($E$5=1,DEC!$F$48,IF($E$5=2,DEC!$G$48,IF($E$5=3,DEC!$H$48,"")))</f>
        <v>-2E-55</v>
      </c>
      <c r="S43" s="406">
        <f ca="1">IF(DEC!$H$53=-1E-55,"",IF($E$5=1,DEC!$F$52,IF($E$5=2,DEC!$G$52,IF($E$5=3,DEC!$H$52,""))))</f>
        <v>-2E-55</v>
      </c>
      <c r="T43" s="406">
        <f t="shared" ca="1" si="1"/>
        <v>-1.2000000000000001E-54</v>
      </c>
      <c r="U43" s="415">
        <f ca="1">IF($G43&lt;0.0011,0,VLOOKUP($B$12,DEC!$C$4:$AA$56,25)-VLOOKUP($B$12-1,DEC!$C$4:$AA$56,25))</f>
        <v>0</v>
      </c>
      <c r="V43" s="408">
        <f ca="1">IF($B$12&lt;D43-1,0,IF($B$12&gt;D44-1,0,VLOOKUP($B$12,DEC!$C$4:$AA$56,3)))</f>
        <v>0</v>
      </c>
      <c r="W43" s="171">
        <f t="shared" ca="1" si="13"/>
        <v>0</v>
      </c>
      <c r="X43" s="171">
        <f t="shared" si="2"/>
        <v>695.18384178873009</v>
      </c>
      <c r="Y43" s="172">
        <f t="shared" ca="1" si="14"/>
        <v>0</v>
      </c>
      <c r="Z43" s="79">
        <f t="shared" ca="1" si="15"/>
        <v>-347.59192089436505</v>
      </c>
      <c r="AA43" s="409">
        <f t="shared" ca="1" si="3"/>
        <v>-1.2000000000000001E-54</v>
      </c>
      <c r="AB43" s="410">
        <f t="shared" ca="1" si="16"/>
        <v>-1</v>
      </c>
      <c r="AC43" s="95">
        <f>F43</f>
        <v>31</v>
      </c>
      <c r="AD43" s="410">
        <f t="shared" ca="1" si="17"/>
        <v>-1</v>
      </c>
      <c r="AE43" s="411" t="str">
        <f>HLOOKUP(Q$21,BJ$30:$BR$43,BI43)</f>
        <v>Dec.</v>
      </c>
      <c r="AF43" s="412">
        <f>DEC!$L$53</f>
        <v>0</v>
      </c>
      <c r="AG43" s="412">
        <f>DEC!$L$54</f>
        <v>0</v>
      </c>
      <c r="AH43" s="412">
        <f>DEC!$L$55</f>
        <v>0</v>
      </c>
      <c r="AI43" s="412" t="str">
        <f>DEC!$L$56</f>
        <v/>
      </c>
      <c r="AJ43" s="412" t="str">
        <f>DEC!$L$57</f>
        <v/>
      </c>
      <c r="AK43" s="412">
        <f>DEC!$L$59</f>
        <v>0</v>
      </c>
      <c r="AL43" s="413">
        <f>DEC!L$40</f>
        <v>0</v>
      </c>
      <c r="AM43" s="400">
        <f>IFERROR(DEC!$M$53,"zero")</f>
        <v>0</v>
      </c>
      <c r="AN43" s="400">
        <f>IFERROR(DEC!$M$54,"zero")</f>
        <v>0</v>
      </c>
      <c r="AO43" s="400">
        <f>IFERROR(DEC!$M$55,"zero")</f>
        <v>0</v>
      </c>
      <c r="AP43" s="400" t="str">
        <f>IFERROR(DEC!$M$56,"zero")</f>
        <v/>
      </c>
      <c r="AQ43" s="400" t="str">
        <f>IFERROR(DEC!$M$57,"zero")</f>
        <v/>
      </c>
      <c r="AR43" s="400">
        <f t="shared" si="20"/>
        <v>0</v>
      </c>
      <c r="AS43" s="79"/>
      <c r="AT43" s="79"/>
      <c r="AU43" s="79"/>
      <c r="AV43" s="79"/>
      <c r="AW43" s="79"/>
      <c r="AX43" s="95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>
        <v>14</v>
      </c>
      <c r="BJ43" s="414" t="s">
        <v>82</v>
      </c>
      <c r="BK43" s="414" t="s">
        <v>147</v>
      </c>
      <c r="BL43" s="414" t="s">
        <v>168</v>
      </c>
      <c r="BM43" s="414" t="s">
        <v>82</v>
      </c>
      <c r="BN43" s="414" t="s">
        <v>147</v>
      </c>
      <c r="BO43" s="414" t="s">
        <v>147</v>
      </c>
      <c r="BP43" s="414" t="s">
        <v>268</v>
      </c>
      <c r="BQ43" s="414" t="s">
        <v>183</v>
      </c>
      <c r="BR43" s="414" t="s">
        <v>409</v>
      </c>
      <c r="BS43" s="272"/>
    </row>
    <row r="44" spans="1:71" ht="25" customHeight="1">
      <c r="A44" s="76"/>
      <c r="B44" s="394">
        <v>13</v>
      </c>
      <c r="C44" s="167">
        <f t="shared" si="6"/>
        <v>45656</v>
      </c>
      <c r="D44" s="403">
        <f t="shared" si="7"/>
        <v>45658</v>
      </c>
      <c r="E44" s="79"/>
      <c r="F44" s="95">
        <f>SUM(F32:F43)</f>
        <v>366</v>
      </c>
      <c r="G44" s="417" t="s">
        <v>33</v>
      </c>
      <c r="H44" s="418">
        <f ca="1">'MY STATS'!$H$43</f>
        <v>-1.24E-53</v>
      </c>
      <c r="I44" s="413">
        <f>SUM(I32:I43)</f>
        <v>0</v>
      </c>
      <c r="J44" s="79"/>
      <c r="K44" s="171"/>
      <c r="L44" s="171"/>
      <c r="M44" s="79"/>
      <c r="N44" s="79"/>
      <c r="O44" s="79"/>
      <c r="P44" s="79"/>
      <c r="Q44" s="79"/>
      <c r="R44" s="79"/>
      <c r="S44" s="95"/>
      <c r="T44" s="95"/>
      <c r="U44" s="419"/>
      <c r="V44" s="419"/>
      <c r="W44" s="95"/>
      <c r="X44" s="95"/>
      <c r="Y44" s="79"/>
      <c r="Z44" s="79"/>
      <c r="AA44" s="79"/>
      <c r="AB44" s="79"/>
      <c r="AC44" s="79"/>
      <c r="AD44" s="95" t="s">
        <v>90</v>
      </c>
      <c r="AE44" s="95" t="s">
        <v>94</v>
      </c>
      <c r="AF44" s="167">
        <f>RANK(AF46,$AF$46:$AJ$46)+COUNTIF(AE$46:$AE46,AF46)</f>
        <v>1</v>
      </c>
      <c r="AG44" s="167">
        <f>RANK(AG46,$AF$46:$AJ$46)+COUNTIF($AE$46:AF46,AG46)</f>
        <v>2</v>
      </c>
      <c r="AH44" s="167">
        <f>RANK(AH46,$AF$46:$AJ$46)+COUNTIF($AE$46:AG46,AH46)</f>
        <v>3</v>
      </c>
      <c r="AI44" s="167">
        <f>RANK(AI46,$AF$46:$AJ$46)+COUNTIF($AE$46:AH46,AI46)</f>
        <v>4</v>
      </c>
      <c r="AJ44" s="167">
        <f>RANK(AJ46,$AF$46:$AJ$46)+COUNTIF($AE$46:AI46,AJ46)</f>
        <v>5</v>
      </c>
      <c r="AK44" s="79"/>
      <c r="AL44" s="95" t="s">
        <v>111</v>
      </c>
      <c r="AM44" s="167">
        <f>RANK(AM46,$AM$46:$AQ$46)+COUNTIF(AR$46:$AR46,AM46)</f>
        <v>1</v>
      </c>
      <c r="AN44" s="167">
        <f>RANK(AN46,$AM$46:$AQ$46)+COUNTIF($AL$46:AM46,AN46)</f>
        <v>2</v>
      </c>
      <c r="AO44" s="167">
        <f>RANK(AO46,$AM$46:$AQ$46)+COUNTIF($AL$46:AN46,AO46)</f>
        <v>3</v>
      </c>
      <c r="AP44" s="167">
        <f>RANK(AP46,$AM$46:$AQ$46)+COUNTIF($AL$46:AO46,AP46)</f>
        <v>4</v>
      </c>
      <c r="AQ44" s="167">
        <f>RANK(AQ46,$AM$46:$AQ$46)+COUNTIF($AL$46:AP46,AQ46)</f>
        <v>5</v>
      </c>
      <c r="AR44" s="79"/>
      <c r="AS44" s="167">
        <f>RANK(AS46,$AS$46:$AW$46)+COUNTIF($AR$46:AR46,AS46)</f>
        <v>1</v>
      </c>
      <c r="AT44" s="167">
        <f>RANK(AT46,$AS$46:$AW$46)+COUNTIF($AR$46:AS46,AT46)</f>
        <v>2</v>
      </c>
      <c r="AU44" s="167">
        <f>RANK(AU46,$AS$46:$AW$46)+COUNTIF($AR$46:AT46,AU46)</f>
        <v>3</v>
      </c>
      <c r="AV44" s="167">
        <f>RANK(AV46,$AS$46:$AW$46)+COUNTIF($AR$46:AU46,AV46)</f>
        <v>4</v>
      </c>
      <c r="AW44" s="167">
        <f>RANK(AW46,$AS$46:$AW$46)+COUNTIF($AR$46:AV46,AW46)</f>
        <v>5</v>
      </c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414"/>
      <c r="BK44" s="414"/>
      <c r="BL44" s="414"/>
      <c r="BM44" s="414"/>
      <c r="BN44" s="414"/>
      <c r="BO44" s="414"/>
      <c r="BP44" s="414"/>
      <c r="BQ44" s="414"/>
      <c r="BR44" s="402"/>
      <c r="BS44" s="272"/>
    </row>
    <row r="45" spans="1:71" ht="26">
      <c r="A45" s="76"/>
      <c r="B45" s="79"/>
      <c r="C45" s="79"/>
      <c r="D45" s="95"/>
      <c r="E45" s="79"/>
      <c r="F45" s="95"/>
      <c r="G45" s="79"/>
      <c r="H45" s="79"/>
      <c r="I45" s="400">
        <f>I44*0.000568181818*1.0936133</f>
        <v>0</v>
      </c>
      <c r="J45" s="79"/>
      <c r="K45" s="79"/>
      <c r="L45" s="79"/>
      <c r="M45" s="79"/>
      <c r="N45" s="79"/>
      <c r="O45" s="79"/>
      <c r="P45" s="79"/>
      <c r="Q45" s="79"/>
      <c r="R45" s="79"/>
      <c r="S45" s="95"/>
      <c r="T45" s="95"/>
      <c r="U45" s="420"/>
      <c r="V45" s="421" t="str">
        <f ca="1">IF(F49=0,"Sun",IF(F49=1,"Mon",IF(F49=2,"Tue",IF(F49=3,"Wed",IF(F49=4,"Thu",IF(F49=5,"Fri",IF(F49=6,"Sat","")))))))</f>
        <v>Sun</v>
      </c>
      <c r="W45" s="95"/>
      <c r="X45" s="95"/>
      <c r="Y45" s="79"/>
      <c r="Z45" s="79"/>
      <c r="AA45" s="173"/>
      <c r="AB45" s="79"/>
      <c r="AC45" s="79"/>
      <c r="AD45" s="79"/>
      <c r="AE45" s="79"/>
      <c r="AF45" s="167" t="str">
        <f>IF(AF47="","",HLOOKUP(AF30,$AF44:$AJ47,4,FALSE))</f>
        <v>OW</v>
      </c>
      <c r="AG45" s="167" t="str">
        <f>IF(AG47="","",HLOOKUP(AG30,$AF44:$AJ47,4,FALSE))</f>
        <v>pool1</v>
      </c>
      <c r="AH45" s="167" t="str">
        <f>IF(AH47="","",HLOOKUP(AH30,$AF44:$AJ47,4,FALSE))</f>
        <v>pool2</v>
      </c>
      <c r="AI45" s="167" t="str">
        <f>IF(AI47="","",HLOOKUP(AI30,$AF44:$AJ47,4,FALSE))</f>
        <v/>
      </c>
      <c r="AJ45" s="167" t="str">
        <f>IF(AJ47="","",HLOOKUP(AJ30,$AF44:$AJ47,4,FALSE))</f>
        <v/>
      </c>
      <c r="AK45" s="79"/>
      <c r="AL45" s="413">
        <f>SUM(AL32:AL43)</f>
        <v>0</v>
      </c>
      <c r="AM45" s="167" t="str">
        <f>IF(AM47="","",HLOOKUP(AM30,$AS44:$AW47,4,FALSE))</f>
        <v>OW</v>
      </c>
      <c r="AN45" s="167" t="str">
        <f>IF(AN47="","",HLOOKUP(AN30,$AS44:$AW47,4,FALSE))</f>
        <v>pool1</v>
      </c>
      <c r="AO45" s="167" t="str">
        <f>IF(AO47="","",HLOOKUP(AO30,$AS44:$AW47,4,FALSE))</f>
        <v>pool2</v>
      </c>
      <c r="AP45" s="167" t="str">
        <f>IF(AP47="","",HLOOKUP(AP30,$AS44:$AW47,4,FALSE))</f>
        <v/>
      </c>
      <c r="AQ45" s="167" t="str">
        <f>IF(AQ47="","",HLOOKUP(AQ30,$AS44:$AW47,4,FALSE))</f>
        <v/>
      </c>
      <c r="AR45" s="79"/>
      <c r="AS45" s="167" t="str">
        <f>IF(AS47="","",HLOOKUP(AS30,$AS44:$AW47,4,FALSE))</f>
        <v>OW</v>
      </c>
      <c r="AT45" s="167" t="str">
        <f>IF(AT47="","",HLOOKUP(AT30,$AS44:$AW47,4,FALSE))</f>
        <v>pool1</v>
      </c>
      <c r="AU45" s="167" t="str">
        <f>IF(AU47="","",HLOOKUP(AU30,$AS44:$AW47,4,FALSE))</f>
        <v>pool2</v>
      </c>
      <c r="AV45" s="167" t="str">
        <f>IF(AV47="","",HLOOKUP(AV30,$AS44:$AW47,4,FALSE))</f>
        <v/>
      </c>
      <c r="AW45" s="167" t="str">
        <f>IF(AW47="","",HLOOKUP(AW30,$AS44:$AW47,4,FALSE))</f>
        <v/>
      </c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402"/>
      <c r="BK45" s="402"/>
      <c r="BL45" s="402"/>
      <c r="BM45" s="402"/>
      <c r="BN45" s="402"/>
      <c r="BO45" s="402"/>
      <c r="BP45" s="402"/>
      <c r="BQ45" s="402"/>
      <c r="BR45" s="402"/>
      <c r="BS45" s="272"/>
    </row>
    <row r="46" spans="1:71" ht="26">
      <c r="A46" s="76"/>
      <c r="B46" s="79"/>
      <c r="C46" s="79"/>
      <c r="D46" s="170" t="s">
        <v>13</v>
      </c>
      <c r="E46" s="79"/>
      <c r="F46" s="95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422" t="str">
        <f ca="1">IF($V45="Mon","",HLOOKUP($Q$21,$H$47:$O$62,11))</f>
        <v>Mon</v>
      </c>
      <c r="T46" s="422" t="str">
        <f ca="1">IF($V45="Tue","",HLOOKUP($Q$21,$H$47:$O$62,12))</f>
        <v>Tue</v>
      </c>
      <c r="U46" s="422" t="str">
        <f ca="1">IF($V45="Wed","",HLOOKUP($Q$21,$H$47:$O$62,13))</f>
        <v>Wed</v>
      </c>
      <c r="V46" s="422" t="str">
        <f ca="1">IF($V45="Thu","",HLOOKUP($Q$21,$H$47:$O$62,14))</f>
        <v>Thu</v>
      </c>
      <c r="W46" s="422" t="str">
        <f ca="1">IF($V45="Fri","",HLOOKUP($Q$21,$H$47:$O$62,15))</f>
        <v>Fri</v>
      </c>
      <c r="X46" s="422" t="str">
        <f ca="1">IF($V45="Sat","",HLOOKUP($Q$21,$H$47:$O$62,16))</f>
        <v>Sat</v>
      </c>
      <c r="Y46" s="422" t="str">
        <f ca="1">IF($V45="Sun","",HLOOKUP($Q$21,$H$47:$O$62,10))</f>
        <v/>
      </c>
      <c r="Z46" s="79"/>
      <c r="AA46" s="79"/>
      <c r="AB46" s="79"/>
      <c r="AC46" s="79"/>
      <c r="AD46" s="95"/>
      <c r="AE46" s="95" t="s">
        <v>94</v>
      </c>
      <c r="AF46" s="412">
        <f t="shared" ref="AF46:AK46" si="21">SUM(AF32:AF43)</f>
        <v>0</v>
      </c>
      <c r="AG46" s="412">
        <f t="shared" si="21"/>
        <v>0</v>
      </c>
      <c r="AH46" s="412">
        <f t="shared" si="21"/>
        <v>0</v>
      </c>
      <c r="AI46" s="412">
        <f t="shared" si="21"/>
        <v>0</v>
      </c>
      <c r="AJ46" s="412">
        <f t="shared" si="21"/>
        <v>0</v>
      </c>
      <c r="AK46" s="412">
        <f t="shared" si="21"/>
        <v>0</v>
      </c>
      <c r="AL46" s="79"/>
      <c r="AM46" s="191">
        <f>SUM(AM32:AM43)</f>
        <v>0</v>
      </c>
      <c r="AN46" s="191">
        <f>SUM(AN32:AN43)</f>
        <v>0</v>
      </c>
      <c r="AO46" s="191">
        <f>SUM(AO32:AO43)</f>
        <v>0</v>
      </c>
      <c r="AP46" s="191">
        <f>SUM(AP32:AP43)</f>
        <v>0</v>
      </c>
      <c r="AQ46" s="191">
        <f>SUM(AQ32:AQ43)</f>
        <v>0</v>
      </c>
      <c r="AR46" s="423" t="s">
        <v>96</v>
      </c>
      <c r="AS46" s="95">
        <f>IFERROR(IF($A$16=2,AM46/AF46/24/1760+0.000000001,AM46/AF46/24),0)</f>
        <v>0</v>
      </c>
      <c r="AT46" s="95">
        <f>IFERROR(IF($A$16=2,AN46/AG46/24/1760+0.000000001,AN46/AG46/24),0)</f>
        <v>0</v>
      </c>
      <c r="AU46" s="95">
        <f>IFERROR(IF($A$16=2,AO46/AH46/24/1760+0.000000001,AO46/AH46/24),0)</f>
        <v>0</v>
      </c>
      <c r="AV46" s="95">
        <f>IFERROR(IF($A$16=2,AP46/AI46/24/1760+0.000000001,AP46/AI46/24),0)</f>
        <v>0</v>
      </c>
      <c r="AW46" s="95">
        <f>IFERROR(IF($A$16=2,AQ46/AJ46/24/1760+0.000000001,AQ46/AJ46/24),0)</f>
        <v>0</v>
      </c>
      <c r="AX46" s="79" t="s">
        <v>95</v>
      </c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402"/>
      <c r="BK46" s="402"/>
      <c r="BL46" s="402"/>
      <c r="BM46" s="402"/>
      <c r="BN46" s="402"/>
      <c r="BO46" s="402"/>
      <c r="BP46" s="402"/>
      <c r="BQ46" s="402"/>
      <c r="BR46" s="402"/>
      <c r="BS46" s="272"/>
    </row>
    <row r="47" spans="1:71" ht="26">
      <c r="A47" s="76"/>
      <c r="B47" s="79"/>
      <c r="C47" s="79"/>
      <c r="D47" s="424">
        <f ca="1">IF(TODAY()&lt;D44,TODAY(),D44-1)</f>
        <v>45291</v>
      </c>
      <c r="E47" s="79"/>
      <c r="F47" s="95"/>
      <c r="G47" s="79"/>
      <c r="H47" s="167">
        <v>1</v>
      </c>
      <c r="I47" s="167">
        <v>2</v>
      </c>
      <c r="J47" s="167">
        <v>3</v>
      </c>
      <c r="K47" s="167">
        <v>4</v>
      </c>
      <c r="L47" s="167">
        <v>5</v>
      </c>
      <c r="M47" s="167">
        <v>6</v>
      </c>
      <c r="N47" s="167">
        <v>7</v>
      </c>
      <c r="O47" s="167">
        <v>8</v>
      </c>
      <c r="P47" s="167">
        <v>9</v>
      </c>
      <c r="Q47" s="79"/>
      <c r="R47" s="79"/>
      <c r="S47" s="422" t="str">
        <f ca="1">IF($V45&lt;&gt;"Mon","",HLOOKUP($Q$21,$H$47:$O$62,$F$49+10))</f>
        <v/>
      </c>
      <c r="T47" s="422" t="str">
        <f ca="1">IF($V45&lt;&gt;"Tue","",HLOOKUP($Q$21,$H$47:$O$62,$F$49+10))</f>
        <v/>
      </c>
      <c r="U47" s="422" t="str">
        <f ca="1">IF($V45&lt;&gt;"Wed","",HLOOKUP($Q$21,$H$47:$O$62,$F$49+10))</f>
        <v/>
      </c>
      <c r="V47" s="422" t="str">
        <f ca="1">IF($V45&lt;&gt;"Thu","",HLOOKUP($Q$21,$H$47:$O$62,$F$49+10))</f>
        <v/>
      </c>
      <c r="W47" s="422" t="str">
        <f ca="1">IF($V45&lt;&gt;"Fri","",HLOOKUP($Q$21,$H$47:$O$62,$F$49+10))</f>
        <v/>
      </c>
      <c r="X47" s="422" t="str">
        <f ca="1">IF($V45&lt;&gt;"Sat","",HLOOKUP($Q$21,$H$47:$O$62,$F$49+10))</f>
        <v/>
      </c>
      <c r="Y47" s="422" t="str">
        <f ca="1">IF($V45&lt;&gt;"Sun","",HLOOKUP($Q$21,$H$47:$O$62,$F$49+10))</f>
        <v>Sun</v>
      </c>
      <c r="Z47" s="79"/>
      <c r="AA47" s="79"/>
      <c r="AB47" s="79"/>
      <c r="AC47" s="79"/>
      <c r="AD47" s="79"/>
      <c r="AE47" s="79"/>
      <c r="AF47" s="167" t="str">
        <f>IF(LEFT(AF31,1)="z","",AF31)</f>
        <v>OW</v>
      </c>
      <c r="AG47" s="167" t="str">
        <f>IF(LEFT(AG31,1)="z","",AG31)</f>
        <v>pool1</v>
      </c>
      <c r="AH47" s="167" t="str">
        <f>IF(LEFT(AH31,1)="z","",AH31)</f>
        <v>pool2</v>
      </c>
      <c r="AI47" s="167" t="str">
        <f>IF(LEFT(AI31,1)="z","",AI31)</f>
        <v/>
      </c>
      <c r="AJ47" s="167" t="str">
        <f>IF(LEFT(AJ31,1)="z","",AJ31)</f>
        <v/>
      </c>
      <c r="AK47" s="79"/>
      <c r="AL47" s="79"/>
      <c r="AM47" s="167" t="str">
        <f>IF(LEFT(AM31,1)="z","",AM31)</f>
        <v>OW</v>
      </c>
      <c r="AN47" s="167" t="str">
        <f>IF(LEFT(AN31,1)="z","",AN31)</f>
        <v>pool1</v>
      </c>
      <c r="AO47" s="167" t="str">
        <f>IF(LEFT(AO31,1)="z","",AO31)</f>
        <v>pool2</v>
      </c>
      <c r="AP47" s="167" t="str">
        <f>IF(LEFT(AP31,1)="z","",AP31)</f>
        <v/>
      </c>
      <c r="AQ47" s="167" t="str">
        <f>IF(LEFT(AQ31,1)="z","",AQ31)</f>
        <v/>
      </c>
      <c r="AR47" s="79"/>
      <c r="AS47" s="167" t="str">
        <f>IF(LEFT(AS31,1)="z","",AS31)</f>
        <v>OW</v>
      </c>
      <c r="AT47" s="167" t="str">
        <f>IF(LEFT(AT31,1)="z","",AT31)</f>
        <v>pool1</v>
      </c>
      <c r="AU47" s="167" t="str">
        <f>IF(LEFT(AU31,1)="z","",AU31)</f>
        <v>pool2</v>
      </c>
      <c r="AV47" s="167" t="str">
        <f>IF(LEFT(AV31,1)="z","",AV31)</f>
        <v/>
      </c>
      <c r="AW47" s="167" t="str">
        <f>IF(LEFT(AW31,1)="z","",AW31)</f>
        <v/>
      </c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402"/>
      <c r="BK47" s="402"/>
      <c r="BL47" s="402"/>
      <c r="BM47" s="402"/>
      <c r="BN47" s="402"/>
      <c r="BO47" s="402"/>
      <c r="BP47" s="402"/>
      <c r="BQ47" s="402"/>
      <c r="BR47" s="402"/>
      <c r="BS47" s="272"/>
    </row>
    <row r="48" spans="1:71" ht="26">
      <c r="A48" s="76"/>
      <c r="B48" s="79"/>
      <c r="C48" s="79"/>
      <c r="D48" s="182">
        <f ca="1">'MY STATS'!$D$47</f>
        <v>45291</v>
      </c>
      <c r="E48" s="79"/>
      <c r="F48" s="95"/>
      <c r="G48" s="79"/>
      <c r="H48" s="425" t="s">
        <v>116</v>
      </c>
      <c r="I48" s="425" t="s">
        <v>169</v>
      </c>
      <c r="J48" s="425" t="s">
        <v>118</v>
      </c>
      <c r="K48" s="425" t="s">
        <v>120</v>
      </c>
      <c r="L48" s="425" t="s">
        <v>117</v>
      </c>
      <c r="M48" s="425" t="s">
        <v>119</v>
      </c>
      <c r="N48" s="425" t="s">
        <v>150</v>
      </c>
      <c r="O48" s="425" t="s">
        <v>171</v>
      </c>
      <c r="P48" s="425" t="s">
        <v>367</v>
      </c>
      <c r="Q48" s="79"/>
      <c r="R48" s="79"/>
      <c r="S48" s="95"/>
      <c r="T48" s="95"/>
      <c r="U48" s="95"/>
      <c r="V48" s="95"/>
      <c r="W48" s="95"/>
      <c r="X48" s="95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402"/>
      <c r="BK48" s="402"/>
      <c r="BL48" s="402"/>
      <c r="BM48" s="402"/>
      <c r="BN48" s="402"/>
      <c r="BO48" s="402"/>
      <c r="BP48" s="402"/>
      <c r="BQ48" s="402"/>
      <c r="BR48" s="402"/>
      <c r="BS48" s="272"/>
    </row>
    <row r="49" spans="1:72" ht="20" customHeight="1">
      <c r="A49" s="76"/>
      <c r="B49" s="79"/>
      <c r="C49" s="79"/>
      <c r="D49" s="424">
        <f>DATE(C7,1,1)</f>
        <v>45292</v>
      </c>
      <c r="E49" s="79"/>
      <c r="F49" s="172">
        <f ca="1">MOD(D47-D53+1,7)</f>
        <v>0</v>
      </c>
      <c r="G49" s="79"/>
      <c r="H49" s="167" t="s">
        <v>1</v>
      </c>
      <c r="I49" s="167" t="s">
        <v>321</v>
      </c>
      <c r="J49" s="167" t="s">
        <v>139</v>
      </c>
      <c r="K49" s="167" t="s">
        <v>141</v>
      </c>
      <c r="L49" s="167" t="s">
        <v>126</v>
      </c>
      <c r="M49" s="167" t="s">
        <v>140</v>
      </c>
      <c r="N49" s="167" t="s">
        <v>270</v>
      </c>
      <c r="O49" s="426" t="s">
        <v>271</v>
      </c>
      <c r="P49" s="426" t="s">
        <v>368</v>
      </c>
      <c r="Q49" s="79" t="str">
        <f>HLOOKUP($Q$21,$H47:$P55,3)</f>
        <v>Monday</v>
      </c>
      <c r="R49" s="79"/>
      <c r="S49" s="95"/>
      <c r="T49" s="95"/>
      <c r="U49" s="95"/>
      <c r="V49" s="95"/>
      <c r="W49" s="95"/>
      <c r="X49" s="95"/>
      <c r="Y49" s="79"/>
      <c r="Z49" s="79"/>
      <c r="AA49" s="79"/>
      <c r="AB49" s="79"/>
      <c r="AC49" s="79"/>
      <c r="AD49" s="95"/>
      <c r="AE49" s="79" t="s">
        <v>259</v>
      </c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272"/>
    </row>
    <row r="50" spans="1:72" ht="20" customHeight="1">
      <c r="A50" s="76"/>
      <c r="B50" s="79"/>
      <c r="C50" s="79"/>
      <c r="D50" s="172">
        <f>D49</f>
        <v>45292</v>
      </c>
      <c r="E50" s="79"/>
      <c r="F50" s="95"/>
      <c r="G50" s="79"/>
      <c r="H50" s="167" t="s">
        <v>2</v>
      </c>
      <c r="I50" s="167" t="s">
        <v>322</v>
      </c>
      <c r="J50" s="167" t="s">
        <v>138</v>
      </c>
      <c r="K50" s="167" t="s">
        <v>328</v>
      </c>
      <c r="L50" s="167" t="s">
        <v>127</v>
      </c>
      <c r="M50" s="167" t="s">
        <v>332</v>
      </c>
      <c r="N50" s="167" t="s">
        <v>272</v>
      </c>
      <c r="O50" s="426" t="s">
        <v>273</v>
      </c>
      <c r="P50" s="426" t="s">
        <v>369</v>
      </c>
      <c r="Q50" s="79"/>
      <c r="R50" s="79"/>
      <c r="S50" s="95"/>
      <c r="T50" s="79"/>
      <c r="U50" s="95"/>
      <c r="V50" s="95"/>
      <c r="W50" s="95"/>
      <c r="X50" s="95"/>
      <c r="Y50" s="79"/>
      <c r="Z50" s="79"/>
      <c r="AA50" s="95"/>
      <c r="AB50" s="79"/>
      <c r="AC50" s="79"/>
      <c r="AD50" s="79"/>
      <c r="AE50" s="95" t="s">
        <v>257</v>
      </c>
      <c r="AF50" s="95"/>
      <c r="AG50" s="283" t="s">
        <v>256</v>
      </c>
      <c r="AH50" s="79" t="s">
        <v>470</v>
      </c>
      <c r="AI50" s="79" t="s">
        <v>471</v>
      </c>
      <c r="AJ50" s="95"/>
      <c r="AK50" s="79"/>
      <c r="AL50" s="79"/>
      <c r="AM50" s="95" t="s">
        <v>436</v>
      </c>
      <c r="AN50" s="167">
        <v>1</v>
      </c>
      <c r="AO50" s="167">
        <v>2</v>
      </c>
      <c r="AP50" s="167">
        <v>3</v>
      </c>
      <c r="AQ50" s="167">
        <v>4</v>
      </c>
      <c r="AR50" s="167">
        <v>5</v>
      </c>
      <c r="AS50" s="167">
        <v>6</v>
      </c>
      <c r="AT50" s="167">
        <v>7</v>
      </c>
      <c r="AU50" s="167">
        <v>8</v>
      </c>
      <c r="AV50" s="167">
        <v>9</v>
      </c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272"/>
    </row>
    <row r="51" spans="1:72" ht="20" customHeight="1">
      <c r="A51" s="76"/>
      <c r="B51" s="79"/>
      <c r="C51" s="79">
        <f>C44-C43</f>
        <v>35</v>
      </c>
      <c r="D51" s="95"/>
      <c r="E51" s="79"/>
      <c r="F51" s="95"/>
      <c r="G51" s="79"/>
      <c r="H51" s="167" t="s">
        <v>3</v>
      </c>
      <c r="I51" s="167" t="s">
        <v>323</v>
      </c>
      <c r="J51" s="167" t="s">
        <v>137</v>
      </c>
      <c r="K51" s="167" t="s">
        <v>329</v>
      </c>
      <c r="L51" s="167" t="s">
        <v>128</v>
      </c>
      <c r="M51" s="167" t="s">
        <v>333</v>
      </c>
      <c r="N51" s="167" t="s">
        <v>274</v>
      </c>
      <c r="O51" s="426" t="s">
        <v>275</v>
      </c>
      <c r="P51" s="426" t="s">
        <v>370</v>
      </c>
      <c r="Q51" s="79"/>
      <c r="R51" s="79"/>
      <c r="S51" s="95">
        <f t="shared" ref="S51:S77" ca="1" si="22">AG51</f>
        <v>27</v>
      </c>
      <c r="T51" s="79">
        <v>0</v>
      </c>
      <c r="U51" s="95">
        <f ca="1">INDIRECT("JAN!AD5")</f>
        <v>2000</v>
      </c>
      <c r="V51" s="79">
        <v>1</v>
      </c>
      <c r="W51" s="427">
        <f ca="1">VLOOKUP(V51,S$51:AH$77,3,FALSE)</f>
        <v>2023</v>
      </c>
      <c r="X51" s="172">
        <f t="shared" ref="X51:X77" ca="1" si="23">IF(VLOOKUP(V51,S$51:AH$77,13,FALSE)&lt;0.001,"",VLOOKUP(V51,S$51:AH$77,13,FALSE))</f>
        <v>333</v>
      </c>
      <c r="Y51" s="428" t="str">
        <f t="shared" ref="Y51:Y62" ca="1" si="24">IF(X51="","",IF(RIGHT(W51,8)="forecast","",(RIGHT(W51,2))))</f>
        <v>23</v>
      </c>
      <c r="Z51" s="429">
        <f ca="1">AA51+AI51</f>
        <v>331.99</v>
      </c>
      <c r="AA51" s="430">
        <f t="shared" ref="AA51:AA77" ca="1" si="25">X51-AB$54</f>
        <v>331.99</v>
      </c>
      <c r="AB51" s="431" t="s">
        <v>254</v>
      </c>
      <c r="AC51" s="432" t="str">
        <f t="shared" ref="AC51:AC77" ca="1" si="26">IF(RIGHT(W51,8)="forecast",VALUE(LEFT(W51,4)),"")</f>
        <v/>
      </c>
      <c r="AD51" s="430">
        <f ca="1">AA51</f>
        <v>331.99</v>
      </c>
      <c r="AE51" s="433">
        <f ca="1">INDIRECT("JAN!Ag5")</f>
        <v>0</v>
      </c>
      <c r="AF51" s="433">
        <f t="shared" ref="AF51:AF77" ca="1" si="27">AE51+T51/1000000</f>
        <v>0</v>
      </c>
      <c r="AG51" s="95">
        <f ca="1">RANK(AF51,AF$51:AF$77)</f>
        <v>27</v>
      </c>
      <c r="AH51" s="172">
        <f ca="1">AA51-AA52</f>
        <v>78</v>
      </c>
      <c r="AI51" s="410"/>
      <c r="AJ51" s="95"/>
      <c r="AK51" s="79"/>
      <c r="AL51" s="79"/>
      <c r="AM51" s="95"/>
      <c r="AN51" s="425" t="s">
        <v>116</v>
      </c>
      <c r="AO51" s="425" t="s">
        <v>169</v>
      </c>
      <c r="AP51" s="425" t="s">
        <v>118</v>
      </c>
      <c r="AQ51" s="425" t="s">
        <v>120</v>
      </c>
      <c r="AR51" s="425" t="s">
        <v>117</v>
      </c>
      <c r="AS51" s="425" t="s">
        <v>119</v>
      </c>
      <c r="AT51" s="425" t="s">
        <v>150</v>
      </c>
      <c r="AU51" s="425" t="s">
        <v>171</v>
      </c>
      <c r="AV51" s="425" t="s">
        <v>367</v>
      </c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272"/>
    </row>
    <row r="52" spans="1:72" ht="20" customHeight="1">
      <c r="A52" s="76"/>
      <c r="B52" s="79"/>
      <c r="C52" s="79"/>
      <c r="D52" s="95" t="s">
        <v>19</v>
      </c>
      <c r="E52" s="79"/>
      <c r="F52" s="95"/>
      <c r="G52" s="79"/>
      <c r="H52" s="167" t="s">
        <v>4</v>
      </c>
      <c r="I52" s="167" t="s">
        <v>324</v>
      </c>
      <c r="J52" s="167" t="s">
        <v>136</v>
      </c>
      <c r="K52" s="167" t="s">
        <v>330</v>
      </c>
      <c r="L52" s="167" t="s">
        <v>129</v>
      </c>
      <c r="M52" s="167" t="s">
        <v>334</v>
      </c>
      <c r="N52" s="167" t="s">
        <v>276</v>
      </c>
      <c r="O52" s="426" t="s">
        <v>277</v>
      </c>
      <c r="P52" s="426" t="s">
        <v>371</v>
      </c>
      <c r="Q52" s="79"/>
      <c r="R52" s="79"/>
      <c r="S52" s="95">
        <f t="shared" ca="1" si="22"/>
        <v>26</v>
      </c>
      <c r="T52" s="79">
        <v>1</v>
      </c>
      <c r="U52" s="95">
        <f ca="1">INDIRECT("JAN!AD6")</f>
        <v>2001</v>
      </c>
      <c r="V52" s="79">
        <v>2</v>
      </c>
      <c r="W52" s="427">
        <f t="shared" ref="W52:W77" ca="1" si="28">VLOOKUP(V52,S$51:AH$77,3,FALSE)</f>
        <v>2024</v>
      </c>
      <c r="X52" s="172">
        <f t="shared" ca="1" si="23"/>
        <v>255</v>
      </c>
      <c r="Y52" s="428" t="str">
        <f t="shared" ca="1" si="24"/>
        <v>24</v>
      </c>
      <c r="Z52" s="429">
        <f t="shared" ref="Z52:Z77" ca="1" si="29">AA52+AI52</f>
        <v>253.99</v>
      </c>
      <c r="AA52" s="430">
        <f t="shared" ca="1" si="25"/>
        <v>253.99</v>
      </c>
      <c r="AB52" s="429">
        <f ca="1">MAX(X51:X77)</f>
        <v>333</v>
      </c>
      <c r="AC52" s="432" t="str">
        <f ca="1">IF(RIGHT(W52,8)="forecast",VALUE(LEFT(W52,4)),"")</f>
        <v/>
      </c>
      <c r="AD52" s="434">
        <f t="shared" ref="AD52" ca="1" si="30">IFERROR(IF(AC52=C6,AA52,""),0)</f>
        <v>253.99</v>
      </c>
      <c r="AE52" s="433">
        <f ca="1">INDIRECT("JAN!Ag6")</f>
        <v>0</v>
      </c>
      <c r="AF52" s="433">
        <f t="shared" ca="1" si="27"/>
        <v>9.9999999999999995E-7</v>
      </c>
      <c r="AG52" s="95">
        <f t="shared" ref="AG52:AG77" ca="1" si="31">RANK(AF52,AF$51:AF$77)</f>
        <v>26</v>
      </c>
      <c r="AH52" s="172">
        <f t="shared" ref="AH52:AH76" ca="1" si="32">AA52-AA53</f>
        <v>33</v>
      </c>
      <c r="AI52" s="95"/>
      <c r="AJ52" s="172"/>
      <c r="AK52" s="272"/>
      <c r="AL52" s="435">
        <f ca="1">AA52+AI52</f>
        <v>253.99</v>
      </c>
      <c r="AM52" s="95" t="str">
        <f>HLOOKUP($Q$21,$AN$50:$AV$58,3)</f>
        <v>Monday</v>
      </c>
      <c r="AN52" s="167" t="s">
        <v>1</v>
      </c>
      <c r="AO52" s="167" t="s">
        <v>321</v>
      </c>
      <c r="AP52" s="167" t="s">
        <v>139</v>
      </c>
      <c r="AQ52" s="167" t="s">
        <v>141</v>
      </c>
      <c r="AR52" s="167" t="s">
        <v>126</v>
      </c>
      <c r="AS52" s="167" t="s">
        <v>140</v>
      </c>
      <c r="AT52" s="167" t="s">
        <v>270</v>
      </c>
      <c r="AU52" s="426" t="s">
        <v>271</v>
      </c>
      <c r="AV52" s="426" t="s">
        <v>368</v>
      </c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272"/>
    </row>
    <row r="53" spans="1:72" ht="20" customHeight="1">
      <c r="A53" s="76"/>
      <c r="B53" s="79"/>
      <c r="C53" s="79"/>
      <c r="D53" s="424">
        <f>D50+IF((WEEKDAY(D50)-2)&lt;0,-6,(WEEKDAY(D50)-2)*-1)</f>
        <v>45292</v>
      </c>
      <c r="E53" s="79"/>
      <c r="F53" s="95" t="s">
        <v>113</v>
      </c>
      <c r="G53" s="281"/>
      <c r="H53" s="167" t="s">
        <v>5</v>
      </c>
      <c r="I53" s="167" t="s">
        <v>325</v>
      </c>
      <c r="J53" s="167" t="s">
        <v>135</v>
      </c>
      <c r="K53" s="167" t="s">
        <v>331</v>
      </c>
      <c r="L53" s="167" t="s">
        <v>130</v>
      </c>
      <c r="M53" s="167" t="s">
        <v>335</v>
      </c>
      <c r="N53" s="167" t="s">
        <v>278</v>
      </c>
      <c r="O53" s="426" t="s">
        <v>279</v>
      </c>
      <c r="P53" s="426" t="s">
        <v>372</v>
      </c>
      <c r="Q53" s="79"/>
      <c r="R53" s="79"/>
      <c r="S53" s="95">
        <f t="shared" ca="1" si="22"/>
        <v>25</v>
      </c>
      <c r="T53" s="79">
        <v>2</v>
      </c>
      <c r="U53" s="95">
        <f ca="1">INDIRECT("JAN!AD7")</f>
        <v>2002</v>
      </c>
      <c r="V53" s="79">
        <v>3</v>
      </c>
      <c r="W53" s="427">
        <f t="shared" ca="1" si="28"/>
        <v>2020</v>
      </c>
      <c r="X53" s="172">
        <f t="shared" ca="1" si="23"/>
        <v>222</v>
      </c>
      <c r="Y53" s="428" t="str">
        <f t="shared" ca="1" si="24"/>
        <v>20</v>
      </c>
      <c r="Z53" s="429">
        <f t="shared" ca="1" si="29"/>
        <v>220.99</v>
      </c>
      <c r="AA53" s="430">
        <f t="shared" ca="1" si="25"/>
        <v>220.99</v>
      </c>
      <c r="AB53" s="431" t="s">
        <v>255</v>
      </c>
      <c r="AC53" s="432" t="str">
        <f t="shared" ref="AC53:AC77" ca="1" si="33">IF(RIGHT(W53,8)="forecast",VALUE(LEFT(W53,4)),"")</f>
        <v/>
      </c>
      <c r="AD53" s="434" t="str">
        <f ca="1">IFERROR(IF(AC53=C7,AA53,""),0)</f>
        <v/>
      </c>
      <c r="AE53" s="433">
        <f ca="1">INDIRECT("JAN!Ag7")</f>
        <v>0</v>
      </c>
      <c r="AF53" s="433">
        <f t="shared" ca="1" si="27"/>
        <v>1.9999999999999999E-6</v>
      </c>
      <c r="AG53" s="95">
        <f t="shared" ca="1" si="31"/>
        <v>25</v>
      </c>
      <c r="AH53" s="172">
        <f t="shared" ca="1" si="32"/>
        <v>111.00000000000001</v>
      </c>
      <c r="AI53" s="172"/>
      <c r="AJ53" s="95"/>
      <c r="AK53" s="272"/>
      <c r="AL53" s="435">
        <f t="shared" ref="AL53:AL75" ca="1" si="34">AA53+AI53</f>
        <v>220.99</v>
      </c>
      <c r="AM53" s="95" t="str">
        <f>HLOOKUP($Q$21,$AN$50:$AV$58,4)</f>
        <v>Tuesday</v>
      </c>
      <c r="AN53" s="167" t="s">
        <v>2</v>
      </c>
      <c r="AO53" s="167" t="s">
        <v>322</v>
      </c>
      <c r="AP53" s="167" t="s">
        <v>138</v>
      </c>
      <c r="AQ53" s="167" t="s">
        <v>328</v>
      </c>
      <c r="AR53" s="167" t="s">
        <v>127</v>
      </c>
      <c r="AS53" s="167" t="s">
        <v>332</v>
      </c>
      <c r="AT53" s="167" t="s">
        <v>272</v>
      </c>
      <c r="AU53" s="426" t="s">
        <v>273</v>
      </c>
      <c r="AV53" s="426" t="s">
        <v>369</v>
      </c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272"/>
    </row>
    <row r="54" spans="1:72" ht="20" customHeight="1">
      <c r="A54" s="76"/>
      <c r="B54" s="79"/>
      <c r="C54" s="79"/>
      <c r="D54" s="79"/>
      <c r="E54" s="79"/>
      <c r="F54" s="167" t="s">
        <v>83</v>
      </c>
      <c r="G54" s="79"/>
      <c r="H54" s="167" t="s">
        <v>6</v>
      </c>
      <c r="I54" s="167" t="s">
        <v>326</v>
      </c>
      <c r="J54" s="167" t="s">
        <v>134</v>
      </c>
      <c r="K54" s="167" t="s">
        <v>326</v>
      </c>
      <c r="L54" s="167" t="s">
        <v>131</v>
      </c>
      <c r="M54" s="167" t="s">
        <v>336</v>
      </c>
      <c r="N54" s="167" t="s">
        <v>280</v>
      </c>
      <c r="O54" s="426" t="s">
        <v>281</v>
      </c>
      <c r="P54" s="426" t="s">
        <v>373</v>
      </c>
      <c r="Q54" s="79"/>
      <c r="R54" s="95"/>
      <c r="S54" s="95">
        <f t="shared" ca="1" si="22"/>
        <v>24</v>
      </c>
      <c r="T54" s="79">
        <v>3</v>
      </c>
      <c r="U54" s="95">
        <f ca="1">INDIRECT("JAN!AD8")</f>
        <v>2003</v>
      </c>
      <c r="V54" s="79">
        <v>4</v>
      </c>
      <c r="W54" s="427">
        <f t="shared" ca="1" si="28"/>
        <v>2019</v>
      </c>
      <c r="X54" s="172">
        <f t="shared" ca="1" si="23"/>
        <v>111</v>
      </c>
      <c r="Y54" s="428" t="str">
        <f t="shared" ca="1" si="24"/>
        <v>19</v>
      </c>
      <c r="Z54" s="429">
        <f t="shared" ca="1" si="29"/>
        <v>109.99</v>
      </c>
      <c r="AA54" s="430">
        <f t="shared" ca="1" si="25"/>
        <v>109.99</v>
      </c>
      <c r="AB54" s="429">
        <f ca="1" xml:space="preserve"> MIN(X51:X77)</f>
        <v>1.01</v>
      </c>
      <c r="AC54" s="432" t="str">
        <f t="shared" ca="1" si="33"/>
        <v/>
      </c>
      <c r="AD54" s="434" t="str">
        <f t="shared" ref="AD54:AD77" ca="1" si="35">IFERROR(IF(AC54=C8,AA54,""),0)</f>
        <v/>
      </c>
      <c r="AE54" s="433">
        <f ca="1">INDIRECT("JAN!Ag8")</f>
        <v>0</v>
      </c>
      <c r="AF54" s="433">
        <f t="shared" ca="1" si="27"/>
        <v>3.0000000000000001E-6</v>
      </c>
      <c r="AG54" s="95">
        <f t="shared" ca="1" si="31"/>
        <v>24</v>
      </c>
      <c r="AH54" s="172">
        <f t="shared" ca="1" si="32"/>
        <v>34.287997999093292</v>
      </c>
      <c r="AI54" s="95"/>
      <c r="AJ54" s="95"/>
      <c r="AK54" s="272"/>
      <c r="AL54" s="435">
        <f t="shared" ca="1" si="34"/>
        <v>109.99</v>
      </c>
      <c r="AM54" s="95" t="str">
        <f>HLOOKUP($Q$21,$AN$50:$AV$58,5)</f>
        <v>Wednesday</v>
      </c>
      <c r="AN54" s="167" t="s">
        <v>3</v>
      </c>
      <c r="AO54" s="167" t="s">
        <v>323</v>
      </c>
      <c r="AP54" s="167" t="s">
        <v>137</v>
      </c>
      <c r="AQ54" s="167" t="s">
        <v>329</v>
      </c>
      <c r="AR54" s="167" t="s">
        <v>128</v>
      </c>
      <c r="AS54" s="167" t="s">
        <v>333</v>
      </c>
      <c r="AT54" s="167" t="s">
        <v>274</v>
      </c>
      <c r="AU54" s="426" t="s">
        <v>275</v>
      </c>
      <c r="AV54" s="426" t="s">
        <v>370</v>
      </c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272"/>
    </row>
    <row r="55" spans="1:72" ht="20" customHeight="1">
      <c r="A55" s="76"/>
      <c r="B55" s="79"/>
      <c r="C55" s="79"/>
      <c r="D55" s="79"/>
      <c r="E55" s="79"/>
      <c r="F55" s="95" t="s">
        <v>477</v>
      </c>
      <c r="G55" s="95"/>
      <c r="H55" s="167" t="s">
        <v>7</v>
      </c>
      <c r="I55" s="167" t="s">
        <v>327</v>
      </c>
      <c r="J55" s="167" t="s">
        <v>133</v>
      </c>
      <c r="K55" s="167" t="s">
        <v>327</v>
      </c>
      <c r="L55" s="167" t="s">
        <v>132</v>
      </c>
      <c r="M55" s="167" t="s">
        <v>337</v>
      </c>
      <c r="N55" s="167" t="s">
        <v>282</v>
      </c>
      <c r="O55" s="426" t="s">
        <v>283</v>
      </c>
      <c r="P55" s="426" t="s">
        <v>374</v>
      </c>
      <c r="Q55" s="79"/>
      <c r="R55" s="79"/>
      <c r="S55" s="95">
        <f t="shared" ca="1" si="22"/>
        <v>23</v>
      </c>
      <c r="T55" s="79">
        <v>4</v>
      </c>
      <c r="U55" s="95">
        <f ca="1">INDIRECT("JAN!AD9")</f>
        <v>2004</v>
      </c>
      <c r="V55" s="79">
        <v>5</v>
      </c>
      <c r="W55" s="427">
        <f t="shared" ca="1" si="28"/>
        <v>2021</v>
      </c>
      <c r="X55" s="172">
        <f t="shared" ca="1" si="23"/>
        <v>76.712002000906708</v>
      </c>
      <c r="Y55" s="428" t="str">
        <f t="shared" ca="1" si="24"/>
        <v>21</v>
      </c>
      <c r="Z55" s="429">
        <f t="shared" ca="1" si="29"/>
        <v>75.702002000906703</v>
      </c>
      <c r="AA55" s="430">
        <f t="shared" ca="1" si="25"/>
        <v>75.702002000906703</v>
      </c>
      <c r="AB55" s="429"/>
      <c r="AC55" s="432" t="str">
        <f t="shared" ca="1" si="33"/>
        <v/>
      </c>
      <c r="AD55" s="434" t="str">
        <f t="shared" ca="1" si="35"/>
        <v/>
      </c>
      <c r="AE55" s="433">
        <f ca="1">INDIRECT("JAN!Ag9")</f>
        <v>0</v>
      </c>
      <c r="AF55" s="433">
        <f t="shared" ca="1" si="27"/>
        <v>3.9999999999999998E-6</v>
      </c>
      <c r="AG55" s="95">
        <f t="shared" ca="1" si="31"/>
        <v>23</v>
      </c>
      <c r="AH55" s="172">
        <f t="shared" ca="1" si="32"/>
        <v>75.702002000906703</v>
      </c>
      <c r="AI55" s="95"/>
      <c r="AJ55" s="95"/>
      <c r="AK55" s="272"/>
      <c r="AL55" s="435">
        <f t="shared" ca="1" si="34"/>
        <v>75.702002000906703</v>
      </c>
      <c r="AM55" s="95" t="str">
        <f>HLOOKUP($Q$21,$AN$50:$AV$58,6)</f>
        <v>Thursday</v>
      </c>
      <c r="AN55" s="167" t="s">
        <v>4</v>
      </c>
      <c r="AO55" s="167" t="s">
        <v>324</v>
      </c>
      <c r="AP55" s="167" t="s">
        <v>136</v>
      </c>
      <c r="AQ55" s="167" t="s">
        <v>330</v>
      </c>
      <c r="AR55" s="167" t="s">
        <v>129</v>
      </c>
      <c r="AS55" s="167" t="s">
        <v>334</v>
      </c>
      <c r="AT55" s="167" t="s">
        <v>276</v>
      </c>
      <c r="AU55" s="426" t="s">
        <v>277</v>
      </c>
      <c r="AV55" s="426" t="s">
        <v>371</v>
      </c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272"/>
    </row>
    <row r="56" spans="1:72" ht="20" customHeight="1">
      <c r="A56" s="76"/>
      <c r="B56" s="79"/>
      <c r="C56" s="79"/>
      <c r="D56" s="79"/>
      <c r="E56" s="79"/>
      <c r="F56" s="95" t="s">
        <v>491</v>
      </c>
      <c r="G56" s="79"/>
      <c r="H56" s="167" t="s">
        <v>105</v>
      </c>
      <c r="I56" s="167" t="s">
        <v>298</v>
      </c>
      <c r="J56" s="167" t="s">
        <v>305</v>
      </c>
      <c r="K56" s="167" t="s">
        <v>298</v>
      </c>
      <c r="L56" s="167" t="s">
        <v>316</v>
      </c>
      <c r="M56" s="167" t="s">
        <v>298</v>
      </c>
      <c r="N56" s="167" t="s">
        <v>284</v>
      </c>
      <c r="O56" s="436" t="s">
        <v>285</v>
      </c>
      <c r="P56" s="426" t="s">
        <v>375</v>
      </c>
      <c r="Q56" s="79"/>
      <c r="R56" s="95"/>
      <c r="S56" s="95">
        <f t="shared" ca="1" si="22"/>
        <v>22</v>
      </c>
      <c r="T56" s="79">
        <v>5</v>
      </c>
      <c r="U56" s="95">
        <f ca="1">INDIRECT("JAN!AD10")</f>
        <v>2005</v>
      </c>
      <c r="V56" s="79">
        <v>6</v>
      </c>
      <c r="W56" s="427" t="str">
        <f t="shared" ca="1" si="28"/>
        <v>2024 forecast</v>
      </c>
      <c r="X56" s="172">
        <f ca="1">IF(VLOOKUP(V56,S$51:AH$77,13,FALSE)&lt;0.001,"",VLOOKUP(V56,S$51:AH$77,13,FALSE))</f>
        <v>1.01</v>
      </c>
      <c r="Y56" s="428" t="str">
        <f t="shared" ca="1" si="24"/>
        <v/>
      </c>
      <c r="Z56" s="429">
        <f t="shared" ca="1" si="29"/>
        <v>0</v>
      </c>
      <c r="AA56" s="430">
        <f t="shared" ca="1" si="25"/>
        <v>0</v>
      </c>
      <c r="AB56" s="431" t="s">
        <v>258</v>
      </c>
      <c r="AC56" s="432">
        <f t="shared" ca="1" si="33"/>
        <v>2024</v>
      </c>
      <c r="AD56" s="434" t="str">
        <f t="shared" ca="1" si="35"/>
        <v/>
      </c>
      <c r="AE56" s="433">
        <f ca="1">INDIRECT("JAN!Ag10")</f>
        <v>0</v>
      </c>
      <c r="AF56" s="433">
        <f t="shared" ca="1" si="27"/>
        <v>5.0000000000000004E-6</v>
      </c>
      <c r="AG56" s="95">
        <f t="shared" ca="1" si="31"/>
        <v>22</v>
      </c>
      <c r="AH56" s="172" t="e">
        <f t="shared" ca="1" si="32"/>
        <v>#VALUE!</v>
      </c>
      <c r="AI56" s="95"/>
      <c r="AJ56" s="95"/>
      <c r="AK56" s="272"/>
      <c r="AL56" s="435">
        <f t="shared" ca="1" si="34"/>
        <v>0</v>
      </c>
      <c r="AM56" s="95" t="str">
        <f>HLOOKUP($Q$21,$AN$50:$AV$58,7)</f>
        <v>Friday</v>
      </c>
      <c r="AN56" s="167" t="s">
        <v>5</v>
      </c>
      <c r="AO56" s="167" t="s">
        <v>325</v>
      </c>
      <c r="AP56" s="167" t="s">
        <v>135</v>
      </c>
      <c r="AQ56" s="167" t="s">
        <v>331</v>
      </c>
      <c r="AR56" s="167" t="s">
        <v>130</v>
      </c>
      <c r="AS56" s="167" t="s">
        <v>335</v>
      </c>
      <c r="AT56" s="167" t="s">
        <v>278</v>
      </c>
      <c r="AU56" s="426" t="s">
        <v>279</v>
      </c>
      <c r="AV56" s="426" t="s">
        <v>372</v>
      </c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272"/>
    </row>
    <row r="57" spans="1:72" ht="20" customHeight="1">
      <c r="A57" s="76"/>
      <c r="B57" s="79"/>
      <c r="C57" s="79"/>
      <c r="D57" s="79"/>
      <c r="E57" s="79"/>
      <c r="F57" s="79" t="s">
        <v>476</v>
      </c>
      <c r="G57" s="95"/>
      <c r="H57" s="167" t="s">
        <v>99</v>
      </c>
      <c r="I57" s="167" t="s">
        <v>299</v>
      </c>
      <c r="J57" s="167" t="s">
        <v>99</v>
      </c>
      <c r="K57" s="167" t="s">
        <v>311</v>
      </c>
      <c r="L57" s="167" t="s">
        <v>311</v>
      </c>
      <c r="M57" s="167" t="s">
        <v>311</v>
      </c>
      <c r="N57" s="167" t="s">
        <v>286</v>
      </c>
      <c r="O57" s="436" t="s">
        <v>287</v>
      </c>
      <c r="P57" s="426" t="s">
        <v>376</v>
      </c>
      <c r="Q57" s="79"/>
      <c r="R57" s="95"/>
      <c r="S57" s="95">
        <f t="shared" ca="1" si="22"/>
        <v>21</v>
      </c>
      <c r="T57" s="79">
        <v>6</v>
      </c>
      <c r="U57" s="95">
        <f ca="1">INDIRECT("JAN!AD11")</f>
        <v>2006</v>
      </c>
      <c r="V57" s="79">
        <v>7</v>
      </c>
      <c r="W57" s="427">
        <f t="shared" ca="1" si="28"/>
        <v>2025</v>
      </c>
      <c r="X57" s="172" t="str">
        <f t="shared" ref="X57:X77" ca="1" si="36">IF(VLOOKUP(V57,S$51:AH$77,13,FALSE)&lt;0.001,"",VLOOKUP(V57,S$51:AH$77,13,FALSE))</f>
        <v/>
      </c>
      <c r="Y57" s="428" t="str">
        <f t="shared" ca="1" si="24"/>
        <v/>
      </c>
      <c r="Z57" s="429" t="e">
        <f t="shared" ca="1" si="29"/>
        <v>#VALUE!</v>
      </c>
      <c r="AA57" s="430" t="e">
        <f ca="1">X57-AB$54</f>
        <v>#VALUE!</v>
      </c>
      <c r="AB57" s="429">
        <f ca="1">AB52-AB54</f>
        <v>331.99</v>
      </c>
      <c r="AC57" s="432" t="str">
        <f t="shared" ca="1" si="33"/>
        <v/>
      </c>
      <c r="AD57" s="434">
        <f t="shared" ca="1" si="35"/>
        <v>0</v>
      </c>
      <c r="AE57" s="433">
        <f ca="1">INDIRECT("JAN!Ag11")</f>
        <v>0</v>
      </c>
      <c r="AF57" s="433">
        <f t="shared" ca="1" si="27"/>
        <v>6.0000000000000002E-6</v>
      </c>
      <c r="AG57" s="95">
        <f t="shared" ca="1" si="31"/>
        <v>21</v>
      </c>
      <c r="AH57" s="172" t="e">
        <f t="shared" ca="1" si="32"/>
        <v>#VALUE!</v>
      </c>
      <c r="AI57" s="95"/>
      <c r="AJ57" s="95"/>
      <c r="AK57" s="272"/>
      <c r="AL57" s="435" t="e">
        <f t="shared" ca="1" si="34"/>
        <v>#VALUE!</v>
      </c>
      <c r="AM57" s="95" t="str">
        <f>HLOOKUP($Q$21,$AN$50:$AV$58,8)</f>
        <v>Saturday</v>
      </c>
      <c r="AN57" s="167" t="s">
        <v>6</v>
      </c>
      <c r="AO57" s="167" t="s">
        <v>326</v>
      </c>
      <c r="AP57" s="167" t="s">
        <v>134</v>
      </c>
      <c r="AQ57" s="167" t="s">
        <v>326</v>
      </c>
      <c r="AR57" s="167" t="s">
        <v>131</v>
      </c>
      <c r="AS57" s="167" t="s">
        <v>336</v>
      </c>
      <c r="AT57" s="167" t="s">
        <v>280</v>
      </c>
      <c r="AU57" s="426" t="s">
        <v>281</v>
      </c>
      <c r="AV57" s="426" t="s">
        <v>373</v>
      </c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272"/>
    </row>
    <row r="58" spans="1:72" ht="20" customHeight="1">
      <c r="A58" s="76"/>
      <c r="B58" s="79"/>
      <c r="C58" s="79"/>
      <c r="D58" s="79"/>
      <c r="E58" s="79"/>
      <c r="F58" s="79" t="s">
        <v>483</v>
      </c>
      <c r="G58" s="95"/>
      <c r="H58" s="167" t="s">
        <v>100</v>
      </c>
      <c r="I58" s="167" t="s">
        <v>300</v>
      </c>
      <c r="J58" s="167" t="s">
        <v>306</v>
      </c>
      <c r="K58" s="167" t="s">
        <v>312</v>
      </c>
      <c r="L58" s="167" t="s">
        <v>312</v>
      </c>
      <c r="M58" s="167" t="s">
        <v>312</v>
      </c>
      <c r="N58" s="167" t="s">
        <v>288</v>
      </c>
      <c r="O58" s="436" t="s">
        <v>289</v>
      </c>
      <c r="P58" s="426" t="s">
        <v>377</v>
      </c>
      <c r="Q58" s="79"/>
      <c r="R58" s="79"/>
      <c r="S58" s="95">
        <f t="shared" ca="1" si="22"/>
        <v>20</v>
      </c>
      <c r="T58" s="79">
        <v>7</v>
      </c>
      <c r="U58" s="95">
        <f ca="1">INDIRECT("JAN!AD12")</f>
        <v>2007</v>
      </c>
      <c r="V58" s="79">
        <v>8</v>
      </c>
      <c r="W58" s="427">
        <f t="shared" ca="1" si="28"/>
        <v>2022</v>
      </c>
      <c r="X58" s="172" t="str">
        <f t="shared" ca="1" si="36"/>
        <v/>
      </c>
      <c r="Y58" s="428" t="str">
        <f t="shared" ca="1" si="24"/>
        <v/>
      </c>
      <c r="Z58" s="429" t="e">
        <f t="shared" ca="1" si="29"/>
        <v>#VALUE!</v>
      </c>
      <c r="AA58" s="430" t="e">
        <f ca="1">X58-AB$54</f>
        <v>#VALUE!</v>
      </c>
      <c r="AB58" s="429"/>
      <c r="AC58" s="432" t="str">
        <f t="shared" ca="1" si="33"/>
        <v/>
      </c>
      <c r="AD58" s="434">
        <f t="shared" ca="1" si="35"/>
        <v>0</v>
      </c>
      <c r="AE58" s="433">
        <f ca="1">INDIRECT("JAN!Ag12")</f>
        <v>0</v>
      </c>
      <c r="AF58" s="433">
        <f t="shared" ca="1" si="27"/>
        <v>6.9999999999999999E-6</v>
      </c>
      <c r="AG58" s="95">
        <f t="shared" ca="1" si="31"/>
        <v>20</v>
      </c>
      <c r="AH58" s="172" t="e">
        <f t="shared" ca="1" si="32"/>
        <v>#VALUE!</v>
      </c>
      <c r="AI58" s="95"/>
      <c r="AJ58" s="95"/>
      <c r="AK58" s="272"/>
      <c r="AL58" s="435" t="e">
        <f t="shared" ca="1" si="34"/>
        <v>#VALUE!</v>
      </c>
      <c r="AM58" s="95" t="str">
        <f>HLOOKUP($Q$21,$AN$50:$AV$58,9)</f>
        <v>Sunday</v>
      </c>
      <c r="AN58" s="167" t="s">
        <v>7</v>
      </c>
      <c r="AO58" s="167" t="s">
        <v>327</v>
      </c>
      <c r="AP58" s="167" t="s">
        <v>133</v>
      </c>
      <c r="AQ58" s="167" t="s">
        <v>327</v>
      </c>
      <c r="AR58" s="167" t="s">
        <v>132</v>
      </c>
      <c r="AS58" s="167" t="s">
        <v>337</v>
      </c>
      <c r="AT58" s="167" t="s">
        <v>282</v>
      </c>
      <c r="AU58" s="426" t="s">
        <v>283</v>
      </c>
      <c r="AV58" s="426" t="s">
        <v>374</v>
      </c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272"/>
    </row>
    <row r="59" spans="1:72" ht="20" customHeight="1">
      <c r="A59" s="76"/>
      <c r="B59" s="79"/>
      <c r="C59" s="79"/>
      <c r="D59" s="79"/>
      <c r="E59" s="79"/>
      <c r="F59" s="79" t="s">
        <v>475</v>
      </c>
      <c r="G59" s="95"/>
      <c r="H59" s="167" t="s">
        <v>101</v>
      </c>
      <c r="I59" s="167" t="s">
        <v>301</v>
      </c>
      <c r="J59" s="167" t="s">
        <v>307</v>
      </c>
      <c r="K59" s="167" t="s">
        <v>313</v>
      </c>
      <c r="L59" s="167" t="s">
        <v>317</v>
      </c>
      <c r="M59" s="167" t="s">
        <v>317</v>
      </c>
      <c r="N59" s="167" t="s">
        <v>290</v>
      </c>
      <c r="O59" s="436" t="s">
        <v>291</v>
      </c>
      <c r="P59" s="426" t="s">
        <v>378</v>
      </c>
      <c r="Q59" s="79"/>
      <c r="R59" s="79"/>
      <c r="S59" s="95">
        <f t="shared" ca="1" si="22"/>
        <v>19</v>
      </c>
      <c r="T59" s="79">
        <v>8</v>
      </c>
      <c r="U59" s="95">
        <f ca="1">INDIRECT("JAN!AD13")</f>
        <v>2008</v>
      </c>
      <c r="V59" s="79">
        <v>9</v>
      </c>
      <c r="W59" s="427">
        <f t="shared" ca="1" si="28"/>
        <v>2018</v>
      </c>
      <c r="X59" s="172" t="str">
        <f t="shared" ca="1" si="36"/>
        <v/>
      </c>
      <c r="Y59" s="428" t="str">
        <f t="shared" ca="1" si="24"/>
        <v/>
      </c>
      <c r="Z59" s="429" t="e">
        <f t="shared" ca="1" si="29"/>
        <v>#VALUE!</v>
      </c>
      <c r="AA59" s="430" t="e">
        <f t="shared" ca="1" si="25"/>
        <v>#VALUE!</v>
      </c>
      <c r="AB59" s="429"/>
      <c r="AC59" s="432" t="str">
        <f t="shared" ca="1" si="33"/>
        <v/>
      </c>
      <c r="AD59" s="434">
        <f t="shared" ca="1" si="35"/>
        <v>0</v>
      </c>
      <c r="AE59" s="433">
        <f ca="1">INDIRECT("JAN!Ag13")</f>
        <v>0</v>
      </c>
      <c r="AF59" s="433">
        <f t="shared" ca="1" si="27"/>
        <v>7.9999999999999996E-6</v>
      </c>
      <c r="AG59" s="95">
        <f t="shared" ca="1" si="31"/>
        <v>19</v>
      </c>
      <c r="AH59" s="172" t="e">
        <f t="shared" ca="1" si="32"/>
        <v>#VALUE!</v>
      </c>
      <c r="AI59" s="95"/>
      <c r="AJ59" s="95"/>
      <c r="AK59" s="272"/>
      <c r="AL59" s="435" t="e">
        <f t="shared" ca="1" si="34"/>
        <v>#VALUE!</v>
      </c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272"/>
    </row>
    <row r="60" spans="1:72" ht="20" customHeight="1">
      <c r="A60" s="76"/>
      <c r="B60" s="79"/>
      <c r="C60" s="79"/>
      <c r="D60" s="79"/>
      <c r="E60" s="79"/>
      <c r="F60" s="79" t="s">
        <v>479</v>
      </c>
      <c r="G60" s="95"/>
      <c r="H60" s="167" t="s">
        <v>102</v>
      </c>
      <c r="I60" s="167" t="s">
        <v>302</v>
      </c>
      <c r="J60" s="167" t="s">
        <v>308</v>
      </c>
      <c r="K60" s="167" t="s">
        <v>314</v>
      </c>
      <c r="L60" s="167" t="s">
        <v>318</v>
      </c>
      <c r="M60" s="167" t="s">
        <v>320</v>
      </c>
      <c r="N60" s="167" t="s">
        <v>292</v>
      </c>
      <c r="O60" s="436" t="s">
        <v>293</v>
      </c>
      <c r="P60" s="426" t="s">
        <v>379</v>
      </c>
      <c r="Q60" s="79"/>
      <c r="R60" s="79"/>
      <c r="S60" s="95">
        <f t="shared" ca="1" si="22"/>
        <v>18</v>
      </c>
      <c r="T60" s="79">
        <v>9</v>
      </c>
      <c r="U60" s="95">
        <f ca="1">INDIRECT("JAN!AD14")</f>
        <v>2009</v>
      </c>
      <c r="V60" s="79">
        <v>10</v>
      </c>
      <c r="W60" s="427">
        <f t="shared" ca="1" si="28"/>
        <v>2017</v>
      </c>
      <c r="X60" s="172" t="str">
        <f t="shared" ca="1" si="36"/>
        <v/>
      </c>
      <c r="Y60" s="428" t="str">
        <f t="shared" ca="1" si="24"/>
        <v/>
      </c>
      <c r="Z60" s="429" t="e">
        <f t="shared" ca="1" si="29"/>
        <v>#VALUE!</v>
      </c>
      <c r="AA60" s="430" t="e">
        <f t="shared" ca="1" si="25"/>
        <v>#VALUE!</v>
      </c>
      <c r="AB60" s="429"/>
      <c r="AC60" s="432" t="str">
        <f t="shared" ca="1" si="33"/>
        <v/>
      </c>
      <c r="AD60" s="434">
        <f t="shared" ca="1" si="35"/>
        <v>0</v>
      </c>
      <c r="AE60" s="433">
        <f ca="1">INDIRECT("JAN!Ag14")</f>
        <v>0</v>
      </c>
      <c r="AF60" s="433">
        <f t="shared" ca="1" si="27"/>
        <v>9.0000000000000002E-6</v>
      </c>
      <c r="AG60" s="95">
        <f t="shared" ca="1" si="31"/>
        <v>18</v>
      </c>
      <c r="AH60" s="172" t="e">
        <f t="shared" ca="1" si="32"/>
        <v>#VALUE!</v>
      </c>
      <c r="AI60" s="95"/>
      <c r="AJ60" s="95"/>
      <c r="AK60" s="272"/>
      <c r="AL60" s="435" t="e">
        <f t="shared" ca="1" si="34"/>
        <v>#VALUE!</v>
      </c>
      <c r="AM60" s="79"/>
      <c r="AN60" s="170"/>
      <c r="AO60" s="170"/>
      <c r="AP60" s="170"/>
      <c r="AQ60" s="170"/>
      <c r="AR60" s="170"/>
      <c r="AS60" s="170"/>
      <c r="AT60" s="170"/>
      <c r="AU60" s="170"/>
      <c r="AV60" s="170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272"/>
    </row>
    <row r="61" spans="1:72" ht="20" customHeight="1">
      <c r="A61" s="76"/>
      <c r="B61" s="79"/>
      <c r="C61" s="79"/>
      <c r="D61" s="79"/>
      <c r="E61" s="79"/>
      <c r="F61" s="79" t="s">
        <v>478</v>
      </c>
      <c r="G61" s="95"/>
      <c r="H61" s="167" t="s">
        <v>103</v>
      </c>
      <c r="I61" s="167" t="s">
        <v>303</v>
      </c>
      <c r="J61" s="167" t="s">
        <v>309</v>
      </c>
      <c r="K61" s="167" t="s">
        <v>315</v>
      </c>
      <c r="L61" s="167" t="s">
        <v>319</v>
      </c>
      <c r="M61" s="167" t="s">
        <v>319</v>
      </c>
      <c r="N61" s="167" t="s">
        <v>294</v>
      </c>
      <c r="O61" s="436" t="s">
        <v>295</v>
      </c>
      <c r="P61" s="426" t="s">
        <v>380</v>
      </c>
      <c r="Q61" s="79"/>
      <c r="R61" s="79"/>
      <c r="S61" s="95">
        <f t="shared" ca="1" si="22"/>
        <v>17</v>
      </c>
      <c r="T61" s="79">
        <v>10</v>
      </c>
      <c r="U61" s="95">
        <f ca="1">INDIRECT("JAN!AD15")</f>
        <v>2010</v>
      </c>
      <c r="V61" s="79">
        <v>11</v>
      </c>
      <c r="W61" s="427">
        <f t="shared" ca="1" si="28"/>
        <v>2016</v>
      </c>
      <c r="X61" s="172" t="str">
        <f t="shared" ca="1" si="36"/>
        <v/>
      </c>
      <c r="Y61" s="428" t="str">
        <f t="shared" ca="1" si="24"/>
        <v/>
      </c>
      <c r="Z61" s="429" t="e">
        <f t="shared" ca="1" si="29"/>
        <v>#VALUE!</v>
      </c>
      <c r="AA61" s="430" t="e">
        <f t="shared" ca="1" si="25"/>
        <v>#VALUE!</v>
      </c>
      <c r="AB61" s="429"/>
      <c r="AC61" s="432" t="str">
        <f t="shared" ca="1" si="33"/>
        <v/>
      </c>
      <c r="AD61" s="434">
        <f t="shared" ca="1" si="35"/>
        <v>0</v>
      </c>
      <c r="AE61" s="433">
        <f ca="1">INDIRECT("JAN!Ag15")</f>
        <v>0</v>
      </c>
      <c r="AF61" s="433">
        <f t="shared" ca="1" si="27"/>
        <v>1.0000000000000001E-5</v>
      </c>
      <c r="AG61" s="95">
        <f t="shared" ca="1" si="31"/>
        <v>17</v>
      </c>
      <c r="AH61" s="172" t="e">
        <f t="shared" ca="1" si="32"/>
        <v>#VALUE!</v>
      </c>
      <c r="AI61" s="95"/>
      <c r="AJ61" s="95"/>
      <c r="AK61" s="272"/>
      <c r="AL61" s="435" t="e">
        <f t="shared" ca="1" si="34"/>
        <v>#VALUE!</v>
      </c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272"/>
    </row>
    <row r="62" spans="1:72" ht="20" customHeight="1">
      <c r="A62" s="76"/>
      <c r="B62" s="272"/>
      <c r="C62" s="79"/>
      <c r="D62" s="79"/>
      <c r="E62" s="79"/>
      <c r="F62" s="79" t="s">
        <v>480</v>
      </c>
      <c r="G62" s="95"/>
      <c r="H62" s="167" t="s">
        <v>104</v>
      </c>
      <c r="I62" s="167" t="s">
        <v>304</v>
      </c>
      <c r="J62" s="167" t="s">
        <v>310</v>
      </c>
      <c r="K62" s="167" t="s">
        <v>304</v>
      </c>
      <c r="L62" s="167" t="s">
        <v>310</v>
      </c>
      <c r="M62" s="167" t="s">
        <v>304</v>
      </c>
      <c r="N62" s="167" t="s">
        <v>296</v>
      </c>
      <c r="O62" s="436" t="s">
        <v>297</v>
      </c>
      <c r="P62" s="426" t="s">
        <v>285</v>
      </c>
      <c r="Q62" s="79"/>
      <c r="R62" s="79"/>
      <c r="S62" s="95">
        <f t="shared" ca="1" si="22"/>
        <v>16</v>
      </c>
      <c r="T62" s="79">
        <v>11</v>
      </c>
      <c r="U62" s="95">
        <f ca="1">INDIRECT("JAN!AD16")</f>
        <v>2011</v>
      </c>
      <c r="V62" s="79">
        <v>12</v>
      </c>
      <c r="W62" s="427">
        <f t="shared" ca="1" si="28"/>
        <v>2015</v>
      </c>
      <c r="X62" s="172" t="str">
        <f t="shared" ca="1" si="36"/>
        <v/>
      </c>
      <c r="Y62" s="428" t="str">
        <f t="shared" ca="1" si="24"/>
        <v/>
      </c>
      <c r="Z62" s="429" t="e">
        <f t="shared" ca="1" si="29"/>
        <v>#VALUE!</v>
      </c>
      <c r="AA62" s="430" t="e">
        <f t="shared" ca="1" si="25"/>
        <v>#VALUE!</v>
      </c>
      <c r="AB62" s="429"/>
      <c r="AC62" s="432" t="str">
        <f t="shared" ca="1" si="33"/>
        <v/>
      </c>
      <c r="AD62" s="434">
        <f t="shared" ca="1" si="35"/>
        <v>0</v>
      </c>
      <c r="AE62" s="433">
        <f ca="1">INDIRECT("JAN!Ag16")</f>
        <v>0</v>
      </c>
      <c r="AF62" s="433">
        <f t="shared" ca="1" si="27"/>
        <v>1.1E-5</v>
      </c>
      <c r="AG62" s="95">
        <f t="shared" ca="1" si="31"/>
        <v>16</v>
      </c>
      <c r="AH62" s="172" t="e">
        <f t="shared" ca="1" si="32"/>
        <v>#VALUE!</v>
      </c>
      <c r="AI62" s="95"/>
      <c r="AJ62" s="95"/>
      <c r="AK62" s="272"/>
      <c r="AL62" s="435" t="e">
        <f t="shared" ca="1" si="34"/>
        <v>#VALUE!</v>
      </c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272"/>
      <c r="BT62" s="272"/>
    </row>
    <row r="63" spans="1:72" ht="19">
      <c r="A63" s="273"/>
      <c r="B63" s="79"/>
      <c r="C63" s="79"/>
      <c r="D63" s="79"/>
      <c r="E63" s="79"/>
      <c r="F63" s="79"/>
      <c r="G63" s="95"/>
      <c r="H63" s="272"/>
      <c r="I63" s="272"/>
      <c r="J63" s="272"/>
      <c r="K63" s="272"/>
      <c r="L63" s="272"/>
      <c r="M63" s="272"/>
      <c r="N63" s="272"/>
      <c r="O63" s="272"/>
      <c r="P63" s="79"/>
      <c r="Q63" s="79"/>
      <c r="R63" s="79"/>
      <c r="S63" s="95">
        <f t="shared" ca="1" si="22"/>
        <v>15</v>
      </c>
      <c r="T63" s="79">
        <v>12</v>
      </c>
      <c r="U63" s="95">
        <f ca="1">INDIRECT("JAN!AD17")</f>
        <v>2012</v>
      </c>
      <c r="V63" s="79">
        <v>13</v>
      </c>
      <c r="W63" s="427">
        <f t="shared" ca="1" si="28"/>
        <v>2014</v>
      </c>
      <c r="X63" s="172" t="str">
        <f t="shared" ca="1" si="36"/>
        <v/>
      </c>
      <c r="Y63" s="428" t="str">
        <f ca="1">IF(X63="","",IF(RIGHT(W63,8)="forecast","",(RIGHT(W63,2))))</f>
        <v/>
      </c>
      <c r="Z63" s="429" t="e">
        <f t="shared" ca="1" si="29"/>
        <v>#VALUE!</v>
      </c>
      <c r="AA63" s="430" t="e">
        <f t="shared" ca="1" si="25"/>
        <v>#VALUE!</v>
      </c>
      <c r="AB63" s="429"/>
      <c r="AC63" s="432" t="str">
        <f t="shared" ca="1" si="33"/>
        <v/>
      </c>
      <c r="AD63" s="434">
        <f t="shared" ca="1" si="35"/>
        <v>0</v>
      </c>
      <c r="AE63" s="433">
        <f ca="1">INDIRECT("JAN!Ag17")</f>
        <v>0</v>
      </c>
      <c r="AF63" s="433">
        <f t="shared" ca="1" si="27"/>
        <v>1.2E-5</v>
      </c>
      <c r="AG63" s="95">
        <f t="shared" ca="1" si="31"/>
        <v>15</v>
      </c>
      <c r="AH63" s="172" t="e">
        <f t="shared" ca="1" si="32"/>
        <v>#VALUE!</v>
      </c>
      <c r="AI63" s="95"/>
      <c r="AJ63" s="95"/>
      <c r="AK63" s="272"/>
      <c r="AL63" s="435" t="e">
        <f t="shared" ca="1" si="34"/>
        <v>#VALUE!</v>
      </c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272"/>
    </row>
    <row r="64" spans="1:72" ht="19">
      <c r="A64" s="273"/>
      <c r="B64" s="79"/>
      <c r="C64" s="79"/>
      <c r="D64" s="79"/>
      <c r="E64" s="79"/>
      <c r="F64" s="79"/>
      <c r="G64" s="95"/>
      <c r="H64" s="272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95">
        <f t="shared" ca="1" si="22"/>
        <v>14</v>
      </c>
      <c r="T64" s="79">
        <v>13</v>
      </c>
      <c r="U64" s="95">
        <f ca="1">INDIRECT("JAN!AD18")</f>
        <v>2013</v>
      </c>
      <c r="V64" s="79">
        <v>14</v>
      </c>
      <c r="W64" s="427">
        <f t="shared" ca="1" si="28"/>
        <v>2013</v>
      </c>
      <c r="X64" s="172" t="str">
        <f t="shared" ca="1" si="36"/>
        <v/>
      </c>
      <c r="Y64" s="428" t="str">
        <f t="shared" ref="Y64:Y77" ca="1" si="37">IF(X64="","",IF(RIGHT(W64,8)="forecast","",(RIGHT(W64,2))))</f>
        <v/>
      </c>
      <c r="Z64" s="429" t="e">
        <f t="shared" ca="1" si="29"/>
        <v>#VALUE!</v>
      </c>
      <c r="AA64" s="430" t="e">
        <f t="shared" ca="1" si="25"/>
        <v>#VALUE!</v>
      </c>
      <c r="AB64" s="429"/>
      <c r="AC64" s="432" t="str">
        <f t="shared" ca="1" si="33"/>
        <v/>
      </c>
      <c r="AD64" s="434" t="str">
        <f t="shared" ca="1" si="35"/>
        <v/>
      </c>
      <c r="AE64" s="433">
        <f ca="1">INDIRECT("JAN!Ag18")</f>
        <v>0</v>
      </c>
      <c r="AF64" s="433">
        <f t="shared" ca="1" si="27"/>
        <v>1.2999999999999999E-5</v>
      </c>
      <c r="AG64" s="95">
        <f t="shared" ca="1" si="31"/>
        <v>14</v>
      </c>
      <c r="AH64" s="172" t="e">
        <f t="shared" ca="1" si="32"/>
        <v>#VALUE!</v>
      </c>
      <c r="AI64" s="95"/>
      <c r="AJ64" s="95"/>
      <c r="AK64" s="272"/>
      <c r="AL64" s="435" t="e">
        <f t="shared" ca="1" si="34"/>
        <v>#VALUE!</v>
      </c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272"/>
    </row>
    <row r="65" spans="1:72" ht="19">
      <c r="A65" s="273"/>
      <c r="B65" s="79"/>
      <c r="C65" s="79"/>
      <c r="D65" s="79"/>
      <c r="E65" s="79"/>
      <c r="F65" s="79"/>
      <c r="G65" s="95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95">
        <f t="shared" ca="1" si="22"/>
        <v>13</v>
      </c>
      <c r="T65" s="79">
        <v>14</v>
      </c>
      <c r="U65" s="95">
        <f ca="1">INDIRECT("JAN!AD19")</f>
        <v>2014</v>
      </c>
      <c r="V65" s="79">
        <v>15</v>
      </c>
      <c r="W65" s="427">
        <f t="shared" ca="1" si="28"/>
        <v>2012</v>
      </c>
      <c r="X65" s="172" t="str">
        <f t="shared" ca="1" si="36"/>
        <v/>
      </c>
      <c r="Y65" s="428" t="str">
        <f t="shared" ca="1" si="37"/>
        <v/>
      </c>
      <c r="Z65" s="429" t="e">
        <f t="shared" ca="1" si="29"/>
        <v>#VALUE!</v>
      </c>
      <c r="AA65" s="430" t="e">
        <f t="shared" ca="1" si="25"/>
        <v>#VALUE!</v>
      </c>
      <c r="AB65" s="429"/>
      <c r="AC65" s="432" t="str">
        <f t="shared" ca="1" si="33"/>
        <v/>
      </c>
      <c r="AD65" s="434" t="str">
        <f t="shared" ca="1" si="35"/>
        <v/>
      </c>
      <c r="AE65" s="433">
        <f ca="1">INDIRECT("JAN!Ag19")</f>
        <v>0</v>
      </c>
      <c r="AF65" s="433">
        <f t="shared" ca="1" si="27"/>
        <v>1.4E-5</v>
      </c>
      <c r="AG65" s="95">
        <f t="shared" ca="1" si="31"/>
        <v>13</v>
      </c>
      <c r="AH65" s="172" t="e">
        <f t="shared" ca="1" si="32"/>
        <v>#VALUE!</v>
      </c>
      <c r="AI65" s="95"/>
      <c r="AJ65" s="95"/>
      <c r="AK65" s="272"/>
      <c r="AL65" s="435" t="e">
        <f t="shared" ca="1" si="34"/>
        <v>#VALUE!</v>
      </c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272"/>
      <c r="BO65" s="272"/>
      <c r="BP65" s="272"/>
      <c r="BQ65" s="272"/>
      <c r="BR65" s="272"/>
      <c r="BS65" s="272"/>
      <c r="BT65" s="272"/>
    </row>
    <row r="66" spans="1:72" ht="19">
      <c r="A66" s="273"/>
      <c r="B66" s="79"/>
      <c r="C66" s="79"/>
      <c r="D66" s="79"/>
      <c r="E66" s="79"/>
      <c r="F66" s="79"/>
      <c r="G66" s="95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95">
        <f t="shared" ca="1" si="22"/>
        <v>12</v>
      </c>
      <c r="T66" s="79">
        <v>15</v>
      </c>
      <c r="U66" s="95">
        <f ca="1">INDIRECT("JAN!AD20")</f>
        <v>2015</v>
      </c>
      <c r="V66" s="79">
        <v>16</v>
      </c>
      <c r="W66" s="427">
        <f t="shared" ca="1" si="28"/>
        <v>2011</v>
      </c>
      <c r="X66" s="172" t="str">
        <f t="shared" ca="1" si="36"/>
        <v/>
      </c>
      <c r="Y66" s="428" t="str">
        <f t="shared" ca="1" si="37"/>
        <v/>
      </c>
      <c r="Z66" s="429" t="e">
        <f t="shared" ca="1" si="29"/>
        <v>#VALUE!</v>
      </c>
      <c r="AA66" s="430" t="e">
        <f t="shared" ca="1" si="25"/>
        <v>#VALUE!</v>
      </c>
      <c r="AB66" s="429"/>
      <c r="AC66" s="432" t="str">
        <f t="shared" ca="1" si="33"/>
        <v/>
      </c>
      <c r="AD66" s="434" t="str">
        <f t="shared" ca="1" si="35"/>
        <v/>
      </c>
      <c r="AE66" s="433">
        <f ca="1">INDIRECT("JAN!Ag20")</f>
        <v>0</v>
      </c>
      <c r="AF66" s="433">
        <f t="shared" ca="1" si="27"/>
        <v>1.5E-5</v>
      </c>
      <c r="AG66" s="95">
        <f t="shared" ca="1" si="31"/>
        <v>12</v>
      </c>
      <c r="AH66" s="172" t="e">
        <f t="shared" ca="1" si="32"/>
        <v>#VALUE!</v>
      </c>
      <c r="AI66" s="95"/>
      <c r="AJ66" s="95"/>
      <c r="AK66" s="272"/>
      <c r="AL66" s="435" t="e">
        <f t="shared" ca="1" si="34"/>
        <v>#VALUE!</v>
      </c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272"/>
      <c r="BO66" s="272"/>
      <c r="BP66" s="272"/>
      <c r="BQ66" s="272"/>
      <c r="BR66" s="272"/>
      <c r="BS66" s="272"/>
    </row>
    <row r="67" spans="1:72" ht="19">
      <c r="A67" s="273"/>
      <c r="B67" s="79"/>
      <c r="C67" s="79"/>
      <c r="D67" s="79"/>
      <c r="E67" s="79"/>
      <c r="F67" s="79"/>
      <c r="G67" s="95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95">
        <f t="shared" ca="1" si="22"/>
        <v>11</v>
      </c>
      <c r="T67" s="79">
        <v>16</v>
      </c>
      <c r="U67" s="95">
        <f ca="1">INDIRECT("JAN!AD21")</f>
        <v>2016</v>
      </c>
      <c r="V67" s="79">
        <v>17</v>
      </c>
      <c r="W67" s="427">
        <f t="shared" ca="1" si="28"/>
        <v>2010</v>
      </c>
      <c r="X67" s="172" t="str">
        <f t="shared" ca="1" si="36"/>
        <v/>
      </c>
      <c r="Y67" s="428" t="str">
        <f t="shared" ca="1" si="37"/>
        <v/>
      </c>
      <c r="Z67" s="429" t="e">
        <f t="shared" ca="1" si="29"/>
        <v>#VALUE!</v>
      </c>
      <c r="AA67" s="430" t="e">
        <f ca="1">X67-AB$54</f>
        <v>#VALUE!</v>
      </c>
      <c r="AB67" s="429"/>
      <c r="AC67" s="432" t="str">
        <f t="shared" ca="1" si="33"/>
        <v/>
      </c>
      <c r="AD67" s="434">
        <f t="shared" ca="1" si="35"/>
        <v>0</v>
      </c>
      <c r="AE67" s="433">
        <f ca="1">INDIRECT("JAN!Ag21")</f>
        <v>0</v>
      </c>
      <c r="AF67" s="433">
        <f t="shared" ca="1" si="27"/>
        <v>1.5999999999999999E-5</v>
      </c>
      <c r="AG67" s="95">
        <f t="shared" ca="1" si="31"/>
        <v>11</v>
      </c>
      <c r="AH67" s="172" t="e">
        <f t="shared" ca="1" si="32"/>
        <v>#VALUE!</v>
      </c>
      <c r="AI67" s="95"/>
      <c r="AJ67" s="95"/>
      <c r="AK67" s="272"/>
      <c r="AL67" s="435" t="e">
        <f t="shared" ca="1" si="34"/>
        <v>#VALUE!</v>
      </c>
      <c r="AM67" s="79"/>
      <c r="AN67" s="79"/>
      <c r="AO67" s="79"/>
      <c r="AP67" s="79"/>
      <c r="AQ67" s="79"/>
      <c r="AR67" s="79"/>
      <c r="AS67" s="79"/>
      <c r="AT67" s="79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272"/>
      <c r="BO67" s="272"/>
      <c r="BP67" s="272"/>
      <c r="BQ67" s="272"/>
      <c r="BR67" s="272"/>
      <c r="BS67" s="272"/>
    </row>
    <row r="68" spans="1:72" ht="19">
      <c r="A68" s="273"/>
      <c r="B68" s="79"/>
      <c r="C68" s="79"/>
      <c r="D68" s="79"/>
      <c r="E68" s="79"/>
      <c r="F68" s="79"/>
      <c r="G68" s="95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95">
        <f t="shared" ca="1" si="22"/>
        <v>10</v>
      </c>
      <c r="T68" s="79">
        <v>17</v>
      </c>
      <c r="U68" s="95">
        <f ca="1">INDIRECT("JAN!AD22")</f>
        <v>2017</v>
      </c>
      <c r="V68" s="79">
        <v>18</v>
      </c>
      <c r="W68" s="427">
        <f t="shared" ca="1" si="28"/>
        <v>2009</v>
      </c>
      <c r="X68" s="172" t="str">
        <f t="shared" ca="1" si="36"/>
        <v/>
      </c>
      <c r="Y68" s="428" t="str">
        <f t="shared" ca="1" si="37"/>
        <v/>
      </c>
      <c r="Z68" s="429" t="e">
        <f t="shared" ca="1" si="29"/>
        <v>#VALUE!</v>
      </c>
      <c r="AA68" s="430" t="e">
        <f t="shared" ca="1" si="25"/>
        <v>#VALUE!</v>
      </c>
      <c r="AB68" s="429"/>
      <c r="AC68" s="432" t="str">
        <f t="shared" ca="1" si="33"/>
        <v/>
      </c>
      <c r="AD68" s="434">
        <f t="shared" ca="1" si="35"/>
        <v>0</v>
      </c>
      <c r="AE68" s="433">
        <f ca="1">INDIRECT("JAN!Ag22")</f>
        <v>0</v>
      </c>
      <c r="AF68" s="433">
        <f t="shared" ca="1" si="27"/>
        <v>1.7E-5</v>
      </c>
      <c r="AG68" s="95">
        <f t="shared" ca="1" si="31"/>
        <v>10</v>
      </c>
      <c r="AH68" s="172" t="e">
        <f t="shared" ca="1" si="32"/>
        <v>#VALUE!</v>
      </c>
      <c r="AI68" s="95"/>
      <c r="AJ68" s="95"/>
      <c r="AK68" s="272"/>
      <c r="AL68" s="435" t="e">
        <f t="shared" ca="1" si="34"/>
        <v>#VALUE!</v>
      </c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272"/>
      <c r="BO68" s="272"/>
      <c r="BP68" s="272"/>
      <c r="BQ68" s="272"/>
      <c r="BR68" s="272"/>
      <c r="BS68" s="272"/>
    </row>
    <row r="69" spans="1:72" ht="19">
      <c r="A69" s="273"/>
      <c r="B69" s="79"/>
      <c r="C69" s="79"/>
      <c r="D69" s="79"/>
      <c r="E69" s="79"/>
      <c r="F69" s="79"/>
      <c r="G69" s="95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95">
        <f t="shared" ca="1" si="22"/>
        <v>9</v>
      </c>
      <c r="T69" s="79">
        <v>18</v>
      </c>
      <c r="U69" s="95">
        <f ca="1">INDIRECT("JAN!AD23")</f>
        <v>2018</v>
      </c>
      <c r="V69" s="79">
        <v>19</v>
      </c>
      <c r="W69" s="427">
        <f t="shared" ca="1" si="28"/>
        <v>2008</v>
      </c>
      <c r="X69" s="172" t="str">
        <f t="shared" ca="1" si="36"/>
        <v/>
      </c>
      <c r="Y69" s="428" t="str">
        <f t="shared" ca="1" si="37"/>
        <v/>
      </c>
      <c r="Z69" s="429" t="e">
        <f t="shared" ca="1" si="29"/>
        <v>#VALUE!</v>
      </c>
      <c r="AA69" s="430" t="e">
        <f t="shared" ca="1" si="25"/>
        <v>#VALUE!</v>
      </c>
      <c r="AB69" s="429"/>
      <c r="AC69" s="432" t="str">
        <f t="shared" ca="1" si="33"/>
        <v/>
      </c>
      <c r="AD69" s="434">
        <f t="shared" ca="1" si="35"/>
        <v>0</v>
      </c>
      <c r="AE69" s="433">
        <f ca="1">INDIRECT("JAN!Ag23")</f>
        <v>0</v>
      </c>
      <c r="AF69" s="433">
        <f t="shared" ca="1" si="27"/>
        <v>1.8E-5</v>
      </c>
      <c r="AG69" s="95">
        <f t="shared" ca="1" si="31"/>
        <v>9</v>
      </c>
      <c r="AH69" s="172" t="e">
        <f t="shared" ca="1" si="32"/>
        <v>#VALUE!</v>
      </c>
      <c r="AI69" s="95"/>
      <c r="AJ69" s="95"/>
      <c r="AK69" s="272"/>
      <c r="AL69" s="435" t="e">
        <f t="shared" ca="1" si="34"/>
        <v>#VALUE!</v>
      </c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272"/>
      <c r="BO69" s="272"/>
      <c r="BP69" s="272"/>
      <c r="BQ69" s="272"/>
      <c r="BR69" s="272"/>
      <c r="BS69" s="272"/>
    </row>
    <row r="70" spans="1:72" ht="19">
      <c r="A70" s="273"/>
      <c r="B70" s="79"/>
      <c r="C70" s="79"/>
      <c r="D70" s="79"/>
      <c r="E70" s="79"/>
      <c r="F70" s="79"/>
      <c r="G70" s="95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95">
        <f t="shared" ca="1" si="22"/>
        <v>4</v>
      </c>
      <c r="T70" s="79">
        <v>19</v>
      </c>
      <c r="U70" s="95">
        <f ca="1">INDIRECT("JAN!AD24")</f>
        <v>2019</v>
      </c>
      <c r="V70" s="79">
        <v>20</v>
      </c>
      <c r="W70" s="427">
        <f t="shared" ca="1" si="28"/>
        <v>2007</v>
      </c>
      <c r="X70" s="172" t="str">
        <f t="shared" ca="1" si="36"/>
        <v/>
      </c>
      <c r="Y70" s="428" t="str">
        <f t="shared" ca="1" si="37"/>
        <v/>
      </c>
      <c r="Z70" s="429" t="e">
        <f t="shared" ca="1" si="29"/>
        <v>#VALUE!</v>
      </c>
      <c r="AA70" s="430" t="e">
        <f t="shared" ca="1" si="25"/>
        <v>#VALUE!</v>
      </c>
      <c r="AB70" s="429"/>
      <c r="AC70" s="432" t="str">
        <f t="shared" ca="1" si="33"/>
        <v/>
      </c>
      <c r="AD70" s="434">
        <f t="shared" ca="1" si="35"/>
        <v>0</v>
      </c>
      <c r="AE70" s="433">
        <f ca="1">INDIRECT("JAN!Ag24")</f>
        <v>111</v>
      </c>
      <c r="AF70" s="433">
        <f t="shared" ca="1" si="27"/>
        <v>111.00001899999999</v>
      </c>
      <c r="AG70" s="95">
        <f t="shared" ca="1" si="31"/>
        <v>4</v>
      </c>
      <c r="AH70" s="172" t="e">
        <f t="shared" ca="1" si="32"/>
        <v>#VALUE!</v>
      </c>
      <c r="AI70" s="95"/>
      <c r="AJ70" s="95"/>
      <c r="AK70" s="272"/>
      <c r="AL70" s="435" t="e">
        <f t="shared" ca="1" si="34"/>
        <v>#VALUE!</v>
      </c>
      <c r="AM70" s="79"/>
      <c r="AN70" s="79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272"/>
      <c r="BN70" s="272"/>
      <c r="BO70" s="272"/>
      <c r="BP70" s="272"/>
      <c r="BQ70" s="272"/>
      <c r="BR70" s="272"/>
      <c r="BS70" s="272"/>
    </row>
    <row r="71" spans="1:72" ht="19">
      <c r="A71" s="273"/>
      <c r="B71" s="79"/>
      <c r="C71" s="79"/>
      <c r="D71" s="79"/>
      <c r="E71" s="79"/>
      <c r="F71" s="79"/>
      <c r="G71" s="95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95">
        <f t="shared" ca="1" si="22"/>
        <v>3</v>
      </c>
      <c r="T71" s="79">
        <v>20</v>
      </c>
      <c r="U71" s="95">
        <f ca="1">INDIRECT("JAN!AD25")</f>
        <v>2020</v>
      </c>
      <c r="V71" s="79">
        <v>21</v>
      </c>
      <c r="W71" s="427">
        <f t="shared" ca="1" si="28"/>
        <v>2006</v>
      </c>
      <c r="X71" s="172" t="str">
        <f t="shared" ca="1" si="36"/>
        <v/>
      </c>
      <c r="Y71" s="428" t="str">
        <f t="shared" ca="1" si="37"/>
        <v/>
      </c>
      <c r="Z71" s="429" t="e">
        <f t="shared" ca="1" si="29"/>
        <v>#VALUE!</v>
      </c>
      <c r="AA71" s="430" t="e">
        <f t="shared" ca="1" si="25"/>
        <v>#VALUE!</v>
      </c>
      <c r="AB71" s="437"/>
      <c r="AC71" s="432" t="str">
        <f t="shared" ca="1" si="33"/>
        <v/>
      </c>
      <c r="AD71" s="434">
        <f t="shared" ca="1" si="35"/>
        <v>0</v>
      </c>
      <c r="AE71" s="433">
        <f ca="1">INDIRECT("JAN!Ag25")</f>
        <v>222</v>
      </c>
      <c r="AF71" s="433">
        <f t="shared" ca="1" si="27"/>
        <v>222.00002000000001</v>
      </c>
      <c r="AG71" s="95">
        <f t="shared" ca="1" si="31"/>
        <v>3</v>
      </c>
      <c r="AH71" s="172" t="e">
        <f t="shared" ca="1" si="32"/>
        <v>#VALUE!</v>
      </c>
      <c r="AI71" s="95"/>
      <c r="AJ71" s="95"/>
      <c r="AK71" s="272"/>
      <c r="AL71" s="435" t="e">
        <f t="shared" ca="1" si="34"/>
        <v>#VALUE!</v>
      </c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272"/>
      <c r="BN71" s="272"/>
      <c r="BO71" s="272"/>
      <c r="BP71" s="272"/>
      <c r="BQ71" s="272"/>
      <c r="BR71" s="272"/>
      <c r="BS71" s="272"/>
    </row>
    <row r="72" spans="1:72" ht="19">
      <c r="A72" s="273"/>
      <c r="B72" s="79"/>
      <c r="C72" s="79"/>
      <c r="D72" s="79"/>
      <c r="E72" s="79"/>
      <c r="F72" s="79"/>
      <c r="G72" s="95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95">
        <f t="shared" ca="1" si="22"/>
        <v>5</v>
      </c>
      <c r="T72" s="79">
        <v>21</v>
      </c>
      <c r="U72" s="95">
        <f ca="1">INDIRECT("JAN!AD26")</f>
        <v>2021</v>
      </c>
      <c r="V72" s="79">
        <v>22</v>
      </c>
      <c r="W72" s="427">
        <f t="shared" ca="1" si="28"/>
        <v>2005</v>
      </c>
      <c r="X72" s="172" t="str">
        <f t="shared" ca="1" si="36"/>
        <v/>
      </c>
      <c r="Y72" s="428" t="str">
        <f t="shared" ca="1" si="37"/>
        <v/>
      </c>
      <c r="Z72" s="429" t="e">
        <f t="shared" ca="1" si="29"/>
        <v>#VALUE!</v>
      </c>
      <c r="AA72" s="430" t="e">
        <f t="shared" ca="1" si="25"/>
        <v>#VALUE!</v>
      </c>
      <c r="AB72" s="272"/>
      <c r="AC72" s="432" t="str">
        <f t="shared" ca="1" si="33"/>
        <v/>
      </c>
      <c r="AD72" s="434">
        <f t="shared" ca="1" si="35"/>
        <v>0</v>
      </c>
      <c r="AE72" s="433">
        <f ca="1">INDIRECT("JAN!Ag26")</f>
        <v>76.712002000906708</v>
      </c>
      <c r="AF72" s="433">
        <f t="shared" ca="1" si="27"/>
        <v>76.712023000906711</v>
      </c>
      <c r="AG72" s="95">
        <f t="shared" ca="1" si="31"/>
        <v>5</v>
      </c>
      <c r="AH72" s="172" t="e">
        <f t="shared" ca="1" si="32"/>
        <v>#VALUE!</v>
      </c>
      <c r="AI72" s="410"/>
      <c r="AJ72" s="172"/>
      <c r="AK72" s="272"/>
      <c r="AL72" s="435" t="e">
        <f t="shared" ca="1" si="34"/>
        <v>#VALUE!</v>
      </c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272"/>
      <c r="BN72" s="272"/>
      <c r="BO72" s="272"/>
      <c r="BP72" s="272"/>
      <c r="BQ72" s="272"/>
      <c r="BR72" s="272"/>
      <c r="BS72" s="272"/>
    </row>
    <row r="73" spans="1:72" ht="19">
      <c r="A73" s="273"/>
      <c r="B73" s="79"/>
      <c r="C73" s="79"/>
      <c r="D73" s="79"/>
      <c r="E73" s="79"/>
      <c r="F73" s="79"/>
      <c r="G73" s="95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95">
        <f t="shared" ca="1" si="22"/>
        <v>8</v>
      </c>
      <c r="T73" s="79">
        <v>22</v>
      </c>
      <c r="U73" s="95">
        <f ca="1">INDIRECT("JAN!AD27")</f>
        <v>2022</v>
      </c>
      <c r="V73" s="79">
        <v>23</v>
      </c>
      <c r="W73" s="427">
        <f t="shared" ca="1" si="28"/>
        <v>2004</v>
      </c>
      <c r="X73" s="172" t="str">
        <f t="shared" ca="1" si="36"/>
        <v/>
      </c>
      <c r="Y73" s="428" t="str">
        <f t="shared" ca="1" si="37"/>
        <v/>
      </c>
      <c r="Z73" s="429" t="e">
        <f t="shared" ca="1" si="29"/>
        <v>#VALUE!</v>
      </c>
      <c r="AA73" s="430" t="e">
        <f t="shared" ca="1" si="25"/>
        <v>#VALUE!</v>
      </c>
      <c r="AB73" s="272"/>
      <c r="AC73" s="432" t="str">
        <f t="shared" ca="1" si="33"/>
        <v/>
      </c>
      <c r="AD73" s="434">
        <f t="shared" ca="1" si="35"/>
        <v>0</v>
      </c>
      <c r="AE73" s="433">
        <f ca="1">INDIRECT("JAN!Ag27")</f>
        <v>0</v>
      </c>
      <c r="AF73" s="433">
        <f t="shared" ca="1" si="27"/>
        <v>2.1999999999999999E-5</v>
      </c>
      <c r="AG73" s="95">
        <f t="shared" ca="1" si="31"/>
        <v>8</v>
      </c>
      <c r="AH73" s="172" t="e">
        <f t="shared" ca="1" si="32"/>
        <v>#VALUE!</v>
      </c>
      <c r="AI73" s="410"/>
      <c r="AJ73" s="95"/>
      <c r="AK73" s="272"/>
      <c r="AL73" s="435" t="e">
        <f t="shared" ca="1" si="34"/>
        <v>#VALUE!</v>
      </c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272"/>
      <c r="BN73" s="272"/>
      <c r="BO73" s="272"/>
      <c r="BP73" s="272"/>
      <c r="BQ73" s="272"/>
      <c r="BR73" s="272"/>
      <c r="BS73" s="272"/>
    </row>
    <row r="74" spans="1:72" ht="19">
      <c r="A74" s="273"/>
      <c r="B74" s="79"/>
      <c r="C74" s="79"/>
      <c r="D74" s="79"/>
      <c r="E74" s="79"/>
      <c r="F74" s="79"/>
      <c r="G74" s="95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95">
        <f t="shared" ca="1" si="22"/>
        <v>1</v>
      </c>
      <c r="T74" s="79">
        <v>23</v>
      </c>
      <c r="U74" s="95">
        <f ca="1">INDIRECT("JAN!AD28")</f>
        <v>2023</v>
      </c>
      <c r="V74" s="79">
        <v>24</v>
      </c>
      <c r="W74" s="427">
        <f t="shared" ca="1" si="28"/>
        <v>2003</v>
      </c>
      <c r="X74" s="172" t="str">
        <f t="shared" ca="1" si="36"/>
        <v/>
      </c>
      <c r="Y74" s="428" t="str">
        <f t="shared" ca="1" si="37"/>
        <v/>
      </c>
      <c r="Z74" s="429" t="e">
        <f t="shared" ca="1" si="29"/>
        <v>#VALUE!</v>
      </c>
      <c r="AA74" s="430" t="e">
        <f t="shared" ca="1" si="25"/>
        <v>#VALUE!</v>
      </c>
      <c r="AB74" s="437"/>
      <c r="AC74" s="432" t="str">
        <f t="shared" ca="1" si="33"/>
        <v/>
      </c>
      <c r="AD74" s="434">
        <f t="shared" ca="1" si="35"/>
        <v>0</v>
      </c>
      <c r="AE74" s="433">
        <f ca="1">INDIRECT("JAN!Ag28")</f>
        <v>333</v>
      </c>
      <c r="AF74" s="433">
        <f t="shared" ca="1" si="27"/>
        <v>333.000023</v>
      </c>
      <c r="AG74" s="95">
        <f ca="1">RANK(AF74,AF$51:AF$77)</f>
        <v>1</v>
      </c>
      <c r="AH74" s="172" t="e">
        <f t="shared" ca="1" si="32"/>
        <v>#VALUE!</v>
      </c>
      <c r="AI74" s="410"/>
      <c r="AJ74" s="95"/>
      <c r="AK74" s="272"/>
      <c r="AL74" s="435" t="e">
        <f t="shared" ca="1" si="34"/>
        <v>#VALUE!</v>
      </c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272"/>
      <c r="BN74" s="272"/>
      <c r="BO74" s="272"/>
      <c r="BP74" s="272"/>
      <c r="BQ74" s="272"/>
      <c r="BR74" s="272"/>
      <c r="BS74" s="272"/>
    </row>
    <row r="75" spans="1:72" ht="19">
      <c r="A75" s="273"/>
      <c r="B75" s="79"/>
      <c r="C75" s="79"/>
      <c r="D75" s="79"/>
      <c r="E75" s="79"/>
      <c r="F75" s="79"/>
      <c r="G75" s="95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95">
        <f t="shared" ca="1" si="22"/>
        <v>2</v>
      </c>
      <c r="T75" s="79">
        <v>24</v>
      </c>
      <c r="U75" s="95">
        <f ca="1">INDIRECT("JAN!AD29")</f>
        <v>2024</v>
      </c>
      <c r="V75" s="79">
        <v>25</v>
      </c>
      <c r="W75" s="427">
        <f t="shared" ca="1" si="28"/>
        <v>2002</v>
      </c>
      <c r="X75" s="172" t="str">
        <f t="shared" ca="1" si="36"/>
        <v/>
      </c>
      <c r="Y75" s="428" t="str">
        <f t="shared" ca="1" si="37"/>
        <v/>
      </c>
      <c r="Z75" s="429" t="e">
        <f t="shared" ca="1" si="29"/>
        <v>#VALUE!</v>
      </c>
      <c r="AA75" s="430" t="e">
        <f t="shared" ca="1" si="25"/>
        <v>#VALUE!</v>
      </c>
      <c r="AB75" s="437"/>
      <c r="AC75" s="432" t="str">
        <f t="shared" ca="1" si="33"/>
        <v/>
      </c>
      <c r="AD75" s="434">
        <f t="shared" ca="1" si="35"/>
        <v>0</v>
      </c>
      <c r="AE75" s="433">
        <f ca="1">INDIRECT("JAN!Ag29")</f>
        <v>255</v>
      </c>
      <c r="AF75" s="433">
        <f t="shared" ca="1" si="27"/>
        <v>255.000024</v>
      </c>
      <c r="AG75" s="95">
        <f t="shared" ca="1" si="31"/>
        <v>2</v>
      </c>
      <c r="AH75" s="172" t="e">
        <f t="shared" ca="1" si="32"/>
        <v>#VALUE!</v>
      </c>
      <c r="AI75" s="410"/>
      <c r="AJ75" s="79"/>
      <c r="AK75" s="272"/>
      <c r="AL75" s="435" t="e">
        <f t="shared" ca="1" si="34"/>
        <v>#VALUE!</v>
      </c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272"/>
      <c r="BK75" s="272"/>
      <c r="BL75" s="272"/>
      <c r="BM75" s="272"/>
      <c r="BN75" s="272"/>
      <c r="BO75" s="272"/>
      <c r="BP75" s="272"/>
      <c r="BQ75" s="272"/>
      <c r="BR75" s="272"/>
      <c r="BS75" s="272"/>
    </row>
    <row r="76" spans="1:72" ht="19">
      <c r="A76" s="273"/>
      <c r="B76" s="79"/>
      <c r="C76" s="79"/>
      <c r="D76" s="79"/>
      <c r="E76" s="79"/>
      <c r="F76" s="79"/>
      <c r="G76" s="95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95">
        <f t="shared" ca="1" si="22"/>
        <v>6</v>
      </c>
      <c r="T76" s="79">
        <v>25</v>
      </c>
      <c r="U76" s="95" t="str">
        <f ca="1">INDIRECT("JAN!AD30")</f>
        <v>2024 forecast</v>
      </c>
      <c r="V76" s="79">
        <v>26</v>
      </c>
      <c r="W76" s="427">
        <f t="shared" ca="1" si="28"/>
        <v>2001</v>
      </c>
      <c r="X76" s="172" t="str">
        <f t="shared" ca="1" si="36"/>
        <v/>
      </c>
      <c r="Y76" s="428" t="str">
        <f t="shared" ca="1" si="37"/>
        <v/>
      </c>
      <c r="Z76" s="429" t="e">
        <f t="shared" ca="1" si="29"/>
        <v>#VALUE!</v>
      </c>
      <c r="AA76" s="430" t="e">
        <f t="shared" ca="1" si="25"/>
        <v>#VALUE!</v>
      </c>
      <c r="AB76" s="79"/>
      <c r="AC76" s="432" t="str">
        <f t="shared" ca="1" si="33"/>
        <v/>
      </c>
      <c r="AD76" s="434" t="str">
        <f t="shared" ca="1" si="35"/>
        <v/>
      </c>
      <c r="AE76" s="433">
        <f ca="1">INDIRECT("JAN!Ag30")</f>
        <v>1.01</v>
      </c>
      <c r="AF76" s="433">
        <f t="shared" ca="1" si="27"/>
        <v>1.010025</v>
      </c>
      <c r="AG76" s="95">
        <f t="shared" ca="1" si="31"/>
        <v>6</v>
      </c>
      <c r="AH76" s="172" t="e">
        <f t="shared" ca="1" si="32"/>
        <v>#VALUE!</v>
      </c>
      <c r="AI76" s="410"/>
      <c r="AJ76" s="79"/>
      <c r="AK76" s="272"/>
      <c r="AL76" s="283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272"/>
      <c r="BK76" s="272"/>
      <c r="BL76" s="272"/>
      <c r="BM76" s="272"/>
      <c r="BN76" s="272"/>
      <c r="BO76" s="272"/>
      <c r="BP76" s="272"/>
      <c r="BQ76" s="272"/>
      <c r="BR76" s="272"/>
      <c r="BS76" s="272"/>
    </row>
    <row r="77" spans="1:72" ht="19">
      <c r="A77" s="273"/>
      <c r="B77" s="79"/>
      <c r="C77" s="79"/>
      <c r="D77" s="79"/>
      <c r="E77" s="79"/>
      <c r="F77" s="79"/>
      <c r="G77" s="95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95">
        <f t="shared" ca="1" si="22"/>
        <v>7</v>
      </c>
      <c r="T77" s="79">
        <v>26</v>
      </c>
      <c r="U77" s="95">
        <f ca="1">INDIRECT("JAN!AD31")</f>
        <v>2025</v>
      </c>
      <c r="V77" s="79">
        <v>27</v>
      </c>
      <c r="W77" s="427">
        <f t="shared" ca="1" si="28"/>
        <v>2000</v>
      </c>
      <c r="X77" s="172" t="str">
        <f t="shared" ca="1" si="36"/>
        <v/>
      </c>
      <c r="Y77" s="428" t="str">
        <f t="shared" ca="1" si="37"/>
        <v/>
      </c>
      <c r="Z77" s="429" t="e">
        <f t="shared" ca="1" si="29"/>
        <v>#VALUE!</v>
      </c>
      <c r="AA77" s="430" t="e">
        <f t="shared" ca="1" si="25"/>
        <v>#VALUE!</v>
      </c>
      <c r="AB77" s="79"/>
      <c r="AC77" s="432" t="str">
        <f t="shared" ca="1" si="33"/>
        <v/>
      </c>
      <c r="AD77" s="434">
        <f t="shared" ca="1" si="35"/>
        <v>0</v>
      </c>
      <c r="AE77" s="433">
        <f ca="1">INDIRECT("JAN!Ag31")</f>
        <v>0</v>
      </c>
      <c r="AF77" s="433">
        <f t="shared" ca="1" si="27"/>
        <v>2.5999999999999998E-5</v>
      </c>
      <c r="AG77" s="95">
        <f t="shared" ca="1" si="31"/>
        <v>7</v>
      </c>
      <c r="AH77" s="79"/>
      <c r="AI77" s="410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272"/>
      <c r="BK77" s="272"/>
      <c r="BL77" s="272"/>
      <c r="BM77" s="272"/>
      <c r="BN77" s="272"/>
      <c r="BO77" s="272"/>
      <c r="BP77" s="272"/>
      <c r="BQ77" s="272"/>
      <c r="BR77" s="272"/>
      <c r="BS77" s="272"/>
    </row>
    <row r="78" spans="1:72" ht="19">
      <c r="A78" s="273"/>
      <c r="B78" s="79"/>
      <c r="C78" s="79"/>
      <c r="D78" s="79"/>
      <c r="E78" s="79"/>
      <c r="F78" s="79"/>
      <c r="G78" s="95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95"/>
      <c r="T78" s="95"/>
      <c r="U78" s="95"/>
      <c r="V78" s="95"/>
      <c r="W78" s="95"/>
      <c r="X78" s="95"/>
      <c r="Y78" s="79"/>
      <c r="Z78" s="79"/>
      <c r="AA78" s="79"/>
      <c r="AB78" s="79"/>
      <c r="AC78" s="438" t="str">
        <f>IF(W78="2019 Fore",2019,"")</f>
        <v/>
      </c>
      <c r="AD78" s="430" t="str">
        <f>IF(AC78=2019,AA78,"")</f>
        <v/>
      </c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272"/>
      <c r="BK78" s="272"/>
      <c r="BL78" s="272"/>
      <c r="BM78" s="272"/>
      <c r="BN78" s="272"/>
      <c r="BO78" s="272"/>
      <c r="BP78" s="272"/>
      <c r="BQ78" s="272"/>
      <c r="BR78" s="272"/>
      <c r="BS78" s="272"/>
    </row>
    <row r="79" spans="1:72">
      <c r="A79" s="273"/>
      <c r="B79" s="79"/>
      <c r="C79" s="79"/>
      <c r="D79" s="79"/>
      <c r="E79" s="79"/>
      <c r="F79" s="79"/>
      <c r="G79" s="95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95"/>
      <c r="T79" s="95"/>
      <c r="U79" s="95"/>
      <c r="V79" s="95"/>
      <c r="W79" s="95"/>
      <c r="X79" s="95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272"/>
      <c r="BK79" s="272"/>
      <c r="BL79" s="272"/>
      <c r="BM79" s="272"/>
      <c r="BN79" s="272"/>
      <c r="BO79" s="272"/>
      <c r="BP79" s="272"/>
      <c r="BQ79" s="272"/>
      <c r="BR79" s="272"/>
      <c r="BS79" s="284"/>
    </row>
    <row r="80" spans="1:72">
      <c r="B80" s="510"/>
      <c r="C80" s="76"/>
      <c r="D80" s="76"/>
      <c r="E80" s="76"/>
      <c r="F80" s="76"/>
      <c r="G80" s="77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  <c r="T80" s="77"/>
      <c r="U80" s="77">
        <f ca="1">MAX(U51:U77)</f>
        <v>2025</v>
      </c>
      <c r="V80" s="77"/>
      <c r="W80" s="77"/>
      <c r="X80" s="77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9"/>
      <c r="BD80" s="79"/>
      <c r="BE80" s="79"/>
      <c r="BF80" s="79"/>
      <c r="BG80" s="79"/>
      <c r="BH80" s="79"/>
      <c r="BI80" s="79"/>
      <c r="BJ80" s="272"/>
      <c r="BK80" s="272"/>
      <c r="BL80" s="272"/>
      <c r="BM80" s="272"/>
      <c r="BN80" s="272"/>
      <c r="BO80" s="272"/>
      <c r="BP80" s="272"/>
      <c r="BQ80" s="272"/>
      <c r="BR80" s="272"/>
      <c r="BS80" s="272"/>
    </row>
    <row r="81" spans="2:54">
      <c r="B81" s="273"/>
      <c r="C81" s="273"/>
      <c r="D81" s="273"/>
      <c r="E81" s="273"/>
      <c r="F81" s="273"/>
      <c r="G81" s="275"/>
      <c r="H81" s="273"/>
      <c r="I81" s="273"/>
      <c r="J81" s="273"/>
      <c r="K81" s="273"/>
      <c r="L81" s="273"/>
      <c r="M81" s="273"/>
      <c r="N81" s="273"/>
      <c r="O81" s="273"/>
      <c r="P81" s="273"/>
      <c r="Q81" s="273"/>
      <c r="R81" s="273"/>
      <c r="S81" s="77"/>
      <c r="T81" s="77"/>
      <c r="U81" s="77"/>
      <c r="V81" s="77"/>
      <c r="W81" s="77"/>
      <c r="X81" s="77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</row>
    <row r="82" spans="2:54">
      <c r="B82" s="273"/>
      <c r="C82" s="273"/>
      <c r="D82" s="273"/>
      <c r="E82" s="273"/>
      <c r="F82" s="273"/>
      <c r="G82" s="275"/>
      <c r="H82" s="273"/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77"/>
      <c r="T82" s="77"/>
      <c r="U82" s="77"/>
      <c r="V82" s="77"/>
      <c r="W82" s="77"/>
      <c r="X82" s="77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</row>
    <row r="83" spans="2:54">
      <c r="B83" s="273"/>
      <c r="C83" s="273"/>
      <c r="D83" s="273"/>
      <c r="E83" s="273"/>
      <c r="F83" s="273"/>
      <c r="G83" s="275"/>
      <c r="H83" s="273"/>
      <c r="I83" s="273"/>
      <c r="J83" s="273"/>
      <c r="K83" s="273"/>
      <c r="L83" s="273"/>
      <c r="M83" s="273"/>
      <c r="N83" s="273"/>
      <c r="O83" s="273"/>
      <c r="P83" s="273"/>
      <c r="Q83" s="273"/>
      <c r="R83" s="273"/>
      <c r="S83" s="77"/>
      <c r="T83" s="77"/>
      <c r="U83" s="77"/>
      <c r="V83" s="77"/>
      <c r="W83" s="77"/>
      <c r="X83" s="77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</row>
    <row r="84" spans="2:54">
      <c r="B84" s="273"/>
      <c r="C84" s="273"/>
      <c r="D84" s="273"/>
      <c r="E84" s="273"/>
      <c r="F84" s="273"/>
      <c r="G84" s="275"/>
      <c r="H84" s="273"/>
      <c r="I84" s="273"/>
      <c r="J84" s="273"/>
      <c r="K84" s="273"/>
      <c r="L84" s="273"/>
      <c r="M84" s="273"/>
      <c r="N84" s="273"/>
      <c r="O84" s="273"/>
      <c r="P84" s="273"/>
      <c r="Q84" s="273"/>
      <c r="R84" s="273"/>
      <c r="S84" s="77"/>
      <c r="T84" s="77"/>
      <c r="U84" s="77"/>
      <c r="V84" s="77"/>
      <c r="W84" s="77"/>
      <c r="X84" s="77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</row>
    <row r="85" spans="2:54">
      <c r="B85" s="273"/>
      <c r="C85" s="273"/>
      <c r="D85" s="273"/>
      <c r="E85" s="273"/>
      <c r="F85" s="273"/>
      <c r="G85" s="275"/>
      <c r="H85" s="273"/>
      <c r="I85" s="273"/>
      <c r="J85" s="273"/>
      <c r="K85" s="273"/>
      <c r="L85" s="273"/>
      <c r="M85" s="273"/>
      <c r="N85" s="273"/>
      <c r="O85" s="273"/>
      <c r="P85" s="273"/>
      <c r="Q85" s="273"/>
      <c r="R85" s="273"/>
      <c r="S85" s="77"/>
      <c r="T85" s="77"/>
      <c r="U85" s="77"/>
      <c r="V85" s="77"/>
      <c r="W85" s="77"/>
      <c r="X85" s="77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</row>
    <row r="86" spans="2:54">
      <c r="B86" s="273"/>
      <c r="C86" s="273"/>
      <c r="D86" s="273"/>
      <c r="E86" s="273"/>
      <c r="F86" s="273"/>
      <c r="G86" s="275"/>
      <c r="H86" s="273"/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77"/>
      <c r="T86" s="77"/>
      <c r="U86" s="77"/>
      <c r="V86" s="77"/>
      <c r="W86" s="77"/>
      <c r="X86" s="77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</row>
    <row r="87" spans="2:54">
      <c r="B87" s="273"/>
      <c r="C87" s="273"/>
      <c r="D87" s="273"/>
      <c r="E87" s="273"/>
      <c r="F87" s="273"/>
      <c r="G87" s="275"/>
      <c r="H87" s="273"/>
      <c r="I87" s="273"/>
      <c r="J87" s="273"/>
      <c r="K87" s="273"/>
      <c r="L87" s="273"/>
      <c r="M87" s="273"/>
      <c r="N87" s="273"/>
      <c r="O87" s="273"/>
      <c r="P87" s="273"/>
      <c r="Q87" s="273"/>
      <c r="R87" s="273"/>
      <c r="S87" s="77"/>
      <c r="T87" s="77"/>
      <c r="U87" s="77"/>
      <c r="V87" s="77"/>
      <c r="W87" s="77"/>
      <c r="X87" s="77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</row>
    <row r="88" spans="2:54">
      <c r="B88" s="273"/>
      <c r="C88" s="273"/>
      <c r="D88" s="273"/>
      <c r="E88" s="273"/>
      <c r="F88" s="273"/>
      <c r="G88" s="275"/>
      <c r="H88" s="273"/>
      <c r="I88" s="273"/>
      <c r="J88" s="273"/>
      <c r="K88" s="273"/>
      <c r="L88" s="273"/>
      <c r="M88" s="273"/>
      <c r="N88" s="273"/>
      <c r="O88" s="273"/>
      <c r="P88" s="273"/>
      <c r="Q88" s="273"/>
      <c r="R88" s="273"/>
      <c r="S88" s="77"/>
      <c r="T88" s="77"/>
      <c r="U88" s="77"/>
      <c r="V88" s="77"/>
      <c r="W88" s="77"/>
      <c r="X88" s="77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</row>
    <row r="89" spans="2:54">
      <c r="B89" s="273"/>
      <c r="C89" s="273"/>
      <c r="D89" s="273"/>
      <c r="E89" s="273"/>
      <c r="F89" s="273"/>
      <c r="G89" s="275"/>
      <c r="H89" s="273"/>
      <c r="I89" s="273"/>
      <c r="J89" s="273"/>
      <c r="K89" s="273"/>
      <c r="L89" s="273"/>
      <c r="M89" s="273"/>
      <c r="N89" s="273"/>
      <c r="O89" s="273"/>
      <c r="P89" s="273"/>
      <c r="Q89" s="273"/>
      <c r="R89" s="273"/>
      <c r="S89" s="77"/>
      <c r="T89" s="77"/>
      <c r="U89" s="77"/>
      <c r="V89" s="77"/>
      <c r="W89" s="77"/>
      <c r="X89" s="77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</row>
    <row r="90" spans="2:54">
      <c r="B90" s="273"/>
      <c r="C90" s="273"/>
      <c r="D90" s="273"/>
      <c r="E90" s="273"/>
      <c r="F90" s="273"/>
      <c r="G90" s="275"/>
      <c r="H90" s="273"/>
      <c r="I90" s="273"/>
      <c r="J90" s="273"/>
      <c r="K90" s="273"/>
      <c r="L90" s="273"/>
      <c r="M90" s="273"/>
      <c r="N90" s="273"/>
      <c r="O90" s="273"/>
      <c r="P90" s="273"/>
      <c r="Q90" s="273"/>
      <c r="R90" s="273"/>
      <c r="S90" s="77"/>
      <c r="T90" s="77"/>
      <c r="U90" s="77"/>
      <c r="V90" s="77"/>
      <c r="W90" s="77"/>
      <c r="X90" s="77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</row>
    <row r="91" spans="2:54">
      <c r="B91" s="273"/>
      <c r="C91" s="273"/>
      <c r="D91" s="273"/>
      <c r="E91" s="273"/>
      <c r="F91" s="273"/>
      <c r="G91" s="275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77"/>
      <c r="T91" s="77"/>
      <c r="U91" s="77"/>
      <c r="V91" s="77"/>
      <c r="W91" s="77"/>
      <c r="X91" s="77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</row>
    <row r="92" spans="2:54">
      <c r="B92" s="273"/>
      <c r="C92" s="273"/>
      <c r="D92" s="273"/>
      <c r="E92" s="273"/>
      <c r="F92" s="273"/>
      <c r="G92" s="275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77"/>
      <c r="T92" s="77"/>
      <c r="U92" s="77"/>
      <c r="V92" s="77"/>
      <c r="W92" s="77"/>
      <c r="X92" s="77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</row>
    <row r="93" spans="2:54">
      <c r="B93" s="273"/>
      <c r="C93" s="273"/>
      <c r="D93" s="273"/>
      <c r="E93" s="273"/>
      <c r="F93" s="273"/>
      <c r="G93" s="275"/>
      <c r="H93" s="273"/>
      <c r="I93" s="273"/>
      <c r="J93" s="273"/>
      <c r="K93" s="273"/>
      <c r="L93" s="273"/>
      <c r="M93" s="273"/>
      <c r="N93" s="273"/>
      <c r="O93" s="273"/>
      <c r="P93" s="273"/>
      <c r="Q93" s="273"/>
      <c r="R93" s="273"/>
      <c r="S93" s="77"/>
      <c r="T93" s="77"/>
      <c r="U93" s="77"/>
      <c r="V93" s="77"/>
      <c r="W93" s="77"/>
      <c r="X93" s="77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</row>
    <row r="94" spans="2:54">
      <c r="B94" s="273"/>
      <c r="C94" s="273"/>
      <c r="D94" s="273"/>
      <c r="E94" s="273"/>
      <c r="F94" s="273"/>
      <c r="G94" s="275"/>
      <c r="H94" s="273"/>
      <c r="I94" s="273"/>
      <c r="J94" s="273"/>
      <c r="K94" s="273"/>
      <c r="L94" s="273"/>
      <c r="M94" s="273"/>
      <c r="N94" s="273"/>
      <c r="O94" s="273"/>
      <c r="P94" s="273"/>
      <c r="Q94" s="273"/>
      <c r="R94" s="273"/>
      <c r="S94" s="77"/>
      <c r="T94" s="77"/>
      <c r="U94" s="77"/>
      <c r="V94" s="77"/>
      <c r="W94" s="77"/>
      <c r="X94" s="77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</row>
    <row r="95" spans="2:54">
      <c r="B95" s="273"/>
      <c r="C95" s="273"/>
      <c r="D95" s="273"/>
      <c r="E95" s="273"/>
      <c r="F95" s="273"/>
      <c r="G95" s="275"/>
      <c r="H95" s="273"/>
      <c r="I95" s="273"/>
      <c r="J95" s="273"/>
      <c r="K95" s="273"/>
      <c r="L95" s="273"/>
      <c r="M95" s="273"/>
      <c r="N95" s="273"/>
      <c r="O95" s="273"/>
      <c r="P95" s="273"/>
      <c r="Q95" s="273"/>
      <c r="R95" s="273"/>
      <c r="S95" s="77"/>
      <c r="T95" s="77"/>
      <c r="U95" s="77"/>
      <c r="V95" s="77"/>
      <c r="W95" s="77"/>
      <c r="X95" s="77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273"/>
      <c r="AN95" s="273"/>
      <c r="AO95" s="273"/>
      <c r="AP95" s="273"/>
      <c r="AQ95" s="273"/>
      <c r="AR95" s="273"/>
      <c r="AS95" s="273"/>
      <c r="AT95" s="273"/>
      <c r="AU95" s="273"/>
      <c r="AV95" s="273"/>
      <c r="AW95" s="273"/>
      <c r="AX95" s="273"/>
      <c r="AY95" s="273"/>
      <c r="AZ95" s="273"/>
      <c r="BA95" s="273"/>
      <c r="BB95" s="273"/>
    </row>
    <row r="96" spans="2:54">
      <c r="B96" s="273"/>
      <c r="C96" s="273"/>
      <c r="D96" s="273"/>
      <c r="E96" s="273"/>
      <c r="F96" s="273"/>
      <c r="G96" s="275"/>
      <c r="H96" s="273"/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77"/>
      <c r="T96" s="77"/>
      <c r="U96" s="77"/>
      <c r="V96" s="77"/>
      <c r="W96" s="77"/>
      <c r="X96" s="77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273"/>
      <c r="AN96" s="273"/>
      <c r="AO96" s="273"/>
      <c r="AP96" s="273"/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</row>
    <row r="97" spans="2:54">
      <c r="B97" s="273"/>
      <c r="C97" s="273"/>
      <c r="D97" s="273"/>
      <c r="E97" s="273"/>
      <c r="F97" s="273"/>
      <c r="G97" s="275"/>
      <c r="H97" s="273"/>
      <c r="I97" s="273"/>
      <c r="J97" s="273"/>
      <c r="K97" s="273"/>
      <c r="L97" s="273"/>
      <c r="M97" s="273"/>
      <c r="N97" s="273"/>
      <c r="O97" s="273"/>
      <c r="P97" s="273"/>
      <c r="Q97" s="273"/>
      <c r="R97" s="273"/>
      <c r="S97" s="275"/>
      <c r="T97" s="275"/>
      <c r="U97" s="275"/>
      <c r="V97" s="275"/>
      <c r="W97" s="275"/>
      <c r="X97" s="275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</row>
    <row r="98" spans="2:54">
      <c r="B98" s="273"/>
      <c r="C98" s="273"/>
      <c r="D98" s="273"/>
      <c r="E98" s="273"/>
      <c r="F98" s="273"/>
      <c r="G98" s="275"/>
      <c r="H98" s="273"/>
      <c r="I98" s="273"/>
      <c r="J98" s="273"/>
      <c r="K98" s="273"/>
      <c r="L98" s="273"/>
      <c r="M98" s="273"/>
      <c r="N98" s="273"/>
      <c r="O98" s="273"/>
      <c r="P98" s="273"/>
      <c r="Q98" s="273"/>
      <c r="R98" s="273"/>
      <c r="S98" s="275"/>
      <c r="T98" s="275"/>
      <c r="U98" s="275"/>
      <c r="V98" s="275"/>
      <c r="W98" s="275"/>
      <c r="X98" s="275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</row>
    <row r="99" spans="2:54">
      <c r="B99" s="273"/>
      <c r="C99" s="273"/>
      <c r="D99" s="273"/>
      <c r="E99" s="273"/>
      <c r="F99" s="273"/>
      <c r="G99" s="275"/>
      <c r="H99" s="273"/>
      <c r="I99" s="273"/>
      <c r="J99" s="273"/>
      <c r="K99" s="273"/>
      <c r="L99" s="273"/>
      <c r="M99" s="273"/>
      <c r="N99" s="273"/>
      <c r="O99" s="273"/>
      <c r="P99" s="273"/>
      <c r="Q99" s="273"/>
      <c r="R99" s="273"/>
      <c r="S99" s="275"/>
      <c r="T99" s="275"/>
      <c r="U99" s="275"/>
      <c r="V99" s="275"/>
      <c r="W99" s="275"/>
      <c r="X99" s="275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</row>
  </sheetData>
  <sheetProtection sheet="1" objects="1" scenarios="1" selectLockedCells="1"/>
  <mergeCells count="22">
    <mergeCell ref="D3:D4"/>
    <mergeCell ref="B2:C4"/>
    <mergeCell ref="B12:D12"/>
    <mergeCell ref="Q10:Q11"/>
    <mergeCell ref="B17:C17"/>
    <mergeCell ref="B14:C14"/>
    <mergeCell ref="B15:C15"/>
    <mergeCell ref="B16:C16"/>
    <mergeCell ref="F2:H2"/>
    <mergeCell ref="O2:P2"/>
    <mergeCell ref="Q12:Q13"/>
    <mergeCell ref="P24:Q24"/>
    <mergeCell ref="M23:O23"/>
    <mergeCell ref="P22:Q23"/>
    <mergeCell ref="F22:G23"/>
    <mergeCell ref="K22:L22"/>
    <mergeCell ref="I22:J22"/>
    <mergeCell ref="H23:I23"/>
    <mergeCell ref="I24:J24"/>
    <mergeCell ref="K24:L24"/>
    <mergeCell ref="K23:L23"/>
    <mergeCell ref="F24:G24"/>
  </mergeCells>
  <conditionalFormatting sqref="B2">
    <cfRule type="expression" dxfId="10" priority="8">
      <formula>$Q$21=8</formula>
    </cfRule>
  </conditionalFormatting>
  <conditionalFormatting sqref="B16 D16">
    <cfRule type="expression" dxfId="9" priority="5599">
      <formula>$A$16=2</formula>
    </cfRule>
  </conditionalFormatting>
  <conditionalFormatting sqref="B17 D17">
    <cfRule type="expression" dxfId="8" priority="5596">
      <formula>$A$16=3</formula>
    </cfRule>
  </conditionalFormatting>
  <conditionalFormatting sqref="B8:D8">
    <cfRule type="expression" dxfId="7" priority="5593">
      <formula>$B$8=$D$2</formula>
    </cfRule>
  </conditionalFormatting>
  <conditionalFormatting sqref="B9:D9">
    <cfRule type="expression" dxfId="6" priority="5594">
      <formula>$B$9=$D$2</formula>
    </cfRule>
  </conditionalFormatting>
  <conditionalFormatting sqref="B10:D11">
    <cfRule type="expression" dxfId="5" priority="5595">
      <formula>$B$10=$D$2</formula>
    </cfRule>
  </conditionalFormatting>
  <conditionalFormatting sqref="B15:D15">
    <cfRule type="expression" dxfId="4" priority="5598">
      <formula>$A$16=1</formula>
    </cfRule>
  </conditionalFormatting>
  <conditionalFormatting sqref="K22">
    <cfRule type="expression" dxfId="3" priority="23">
      <formula>"(M38-H38)&lt;0"</formula>
    </cfRule>
  </conditionalFormatting>
  <conditionalFormatting sqref="N2">
    <cfRule type="expression" dxfId="2" priority="10">
      <formula>AL45=0</formula>
    </cfRule>
  </conditionalFormatting>
  <conditionalFormatting sqref="Q8:Q10 Q12">
    <cfRule type="expression" dxfId="1" priority="3">
      <formula>$Q8=$Q$21</formula>
    </cfRule>
  </conditionalFormatting>
  <conditionalFormatting sqref="Q14:Q20">
    <cfRule type="expression" dxfId="0" priority="1">
      <formula>$Q14=$Q$21</formula>
    </cfRule>
  </conditionalFormatting>
  <conditionalFormatting sqref="S29:V29 R22 S21:V21 H24">
    <cfRule type="colorScale" priority="339">
      <colorScale>
        <cfvo type="num" val="#REF!*0.9"/>
        <cfvo type="num" val="#REF!"/>
        <cfvo type="num" val="#REF!*1.15"/>
        <color rgb="FFFF0000"/>
        <color rgb="FF00B050"/>
        <color rgb="FFFF0000"/>
      </colorScale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9" r:id="rId4" name="Control 13">
              <controlPr defaultSize="0" autoFill="0" autoPict="0">
                <anchor moveWithCells="1">
                  <from>
                    <xdr:col>1</xdr:col>
                    <xdr:colOff>12700</xdr:colOff>
                    <xdr:row>14</xdr:row>
                    <xdr:rowOff>63500</xdr:rowOff>
                  </from>
                  <to>
                    <xdr:col>1</xdr:col>
                    <xdr:colOff>330200</xdr:colOff>
                    <xdr:row>16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ontrol 2">
              <controlPr locked="0" defaultSize="0" autoFill="0" autoLine="0" autoPict="0">
                <anchor moveWithCells="1">
                  <from>
                    <xdr:col>1</xdr:col>
                    <xdr:colOff>38100</xdr:colOff>
                    <xdr:row>4</xdr:row>
                    <xdr:rowOff>76200</xdr:rowOff>
                  </from>
                  <to>
                    <xdr:col>1</xdr:col>
                    <xdr:colOff>342900</xdr:colOff>
                    <xdr:row>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ontrol 3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4</xdr:row>
                    <xdr:rowOff>63500</xdr:rowOff>
                  </from>
                  <to>
                    <xdr:col>2</xdr:col>
                    <xdr:colOff>342900</xdr:colOff>
                    <xdr:row>4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ontrol 4">
              <controlPr locked="0" defaultSize="0" autoFill="0" autoLine="0" autoPict="0">
                <anchor moveWithCells="1">
                  <from>
                    <xdr:col>3</xdr:col>
                    <xdr:colOff>25400</xdr:colOff>
                    <xdr:row>4</xdr:row>
                    <xdr:rowOff>63500</xdr:rowOff>
                  </from>
                  <to>
                    <xdr:col>3</xdr:col>
                    <xdr:colOff>330200</xdr:colOff>
                    <xdr:row>4</xdr:row>
                    <xdr:rowOff>279400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ontrol 9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14</xdr:row>
                    <xdr:rowOff>190500</xdr:rowOff>
                  </from>
                  <to>
                    <xdr:col>1</xdr:col>
                    <xdr:colOff>304800</xdr:colOff>
                    <xdr:row>14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ontrol 10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15</xdr:row>
                    <xdr:rowOff>127000</xdr:rowOff>
                  </from>
                  <to>
                    <xdr:col>1</xdr:col>
                    <xdr:colOff>292100</xdr:colOff>
                    <xdr:row>15</xdr:row>
                    <xdr:rowOff>330200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ontrol 11">
              <controlPr locked="0" defaultSize="0" autoFill="0" autoLine="0" autoPict="0">
                <anchor moveWithCells="1">
                  <from>
                    <xdr:col>1</xdr:col>
                    <xdr:colOff>50800</xdr:colOff>
                    <xdr:row>16</xdr:row>
                    <xdr:rowOff>139700</xdr:rowOff>
                  </from>
                  <to>
                    <xdr:col>1</xdr:col>
                    <xdr:colOff>292100</xdr:colOff>
                    <xdr:row>16</xdr:row>
                    <xdr:rowOff>330200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autoPageBreaks="0"/>
  </sheetPr>
  <dimension ref="A1:AH66"/>
  <sheetViews>
    <sheetView workbookViewId="0">
      <selection activeCell="H11" sqref="H11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8.1640625" customWidth="1"/>
    <col min="11" max="11" width="8.1640625" hidden="1" customWidth="1"/>
    <col min="12" max="12" width="8.16406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1" width="10.33203125" bestFit="1" customWidth="1"/>
    <col min="33" max="33" width="10.6640625" bestFit="1" customWidth="1"/>
  </cols>
  <sheetData>
    <row r="1" spans="1:34" ht="53.25" customHeight="1" thickBot="1">
      <c r="A1" s="42">
        <v>9</v>
      </c>
      <c r="B1" s="40" t="s">
        <v>0</v>
      </c>
      <c r="C1" s="41"/>
      <c r="D1" s="41"/>
      <c r="E1" s="193" t="str">
        <f>VLOOKUP(A1,'MY STATS'!$B$32:$E$43,4)</f>
        <v>Sep.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168" t="s">
        <v>25</v>
      </c>
      <c r="P1" s="170" t="s">
        <v>26</v>
      </c>
      <c r="Q1" s="170" t="s">
        <v>26</v>
      </c>
      <c r="R1" s="181" t="s">
        <v>32</v>
      </c>
      <c r="S1" s="194" t="s">
        <v>115</v>
      </c>
      <c r="T1" s="181"/>
      <c r="U1" s="181"/>
      <c r="V1" s="181" t="s">
        <v>84</v>
      </c>
      <c r="W1" s="181" t="s">
        <v>85</v>
      </c>
      <c r="X1" s="170" t="s">
        <v>24</v>
      </c>
      <c r="Y1" s="170" t="s">
        <v>21</v>
      </c>
      <c r="Z1" s="170" t="s">
        <v>22</v>
      </c>
      <c r="AA1" s="182" t="s">
        <v>23</v>
      </c>
      <c r="AB1" s="79"/>
      <c r="AC1" s="79"/>
      <c r="AD1" s="76"/>
      <c r="AE1" s="76"/>
      <c r="AF1" s="76"/>
    </row>
    <row r="2" spans="1:34" ht="36" hidden="1" thickTop="1" thickBot="1">
      <c r="A2" s="54" t="s">
        <v>64</v>
      </c>
      <c r="B2" s="21">
        <f>VLOOKUP(A1,'MY STATS'!$B$32:$G$43,3)</f>
        <v>45536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183"/>
      <c r="P2" s="79"/>
      <c r="Q2" s="79"/>
      <c r="R2" s="184">
        <f>'MY STATS'!A16</f>
        <v>3</v>
      </c>
      <c r="S2" s="184"/>
      <c r="T2" s="184"/>
      <c r="U2" s="184"/>
      <c r="V2" s="184"/>
      <c r="W2" s="184"/>
      <c r="X2" s="79"/>
      <c r="Y2" s="79"/>
      <c r="Z2" s="95"/>
      <c r="AA2" s="95"/>
      <c r="AB2" s="79"/>
      <c r="AC2" s="79"/>
      <c r="AD2" s="76"/>
      <c r="AE2" s="76"/>
      <c r="AF2" s="76"/>
    </row>
    <row r="3" spans="1:34" ht="18" hidden="1" thickTop="1" thickBot="1">
      <c r="A3" s="75">
        <f>'MY STATS'!D44</f>
        <v>45658</v>
      </c>
      <c r="B3" s="21">
        <f>VLOOKUP(A1+1,'MY STATS'!$B$32:$G$44,3)-1</f>
        <v>45565</v>
      </c>
      <c r="C3" s="21">
        <f>VLOOKUP(A1,'MY STATS'!$B$32:$G$43,2)</f>
        <v>45530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183"/>
      <c r="P3" s="79"/>
      <c r="Q3" s="79"/>
      <c r="R3" s="184"/>
      <c r="S3" s="184"/>
      <c r="T3" s="184"/>
      <c r="U3" s="184"/>
      <c r="V3" s="184"/>
      <c r="W3" s="184"/>
      <c r="X3" s="79"/>
      <c r="Y3" s="79"/>
      <c r="Z3" s="95"/>
      <c r="AA3" s="95"/>
      <c r="AB3" s="79"/>
      <c r="AC3" s="79"/>
      <c r="AD3" s="76"/>
      <c r="AE3" s="76"/>
      <c r="AF3" s="76"/>
    </row>
    <row r="4" spans="1:34" ht="14" hidden="1" customHeight="1" thickTop="1" thickBot="1">
      <c r="A4"/>
      <c r="C4" s="28">
        <f>C3-1</f>
        <v>45529</v>
      </c>
      <c r="D4"/>
      <c r="O4" s="185"/>
      <c r="P4" s="172">
        <f t="shared" ref="P4:P11" si="0">H$56</f>
        <v>100914.78556569738</v>
      </c>
      <c r="Q4" s="128">
        <f>IF(R$2=3,P4,IF(R$2=2,P4*1.0936,IF(R$2=1,P4*0.000568181818*1.0936133,"")))</f>
        <v>100914.78556569738</v>
      </c>
      <c r="R4" s="169"/>
      <c r="S4" s="169"/>
      <c r="T4" s="169"/>
      <c r="U4" s="169"/>
      <c r="V4" s="169"/>
      <c r="W4" s="169"/>
      <c r="X4" s="172"/>
      <c r="Y4" s="172"/>
      <c r="Z4" s="171">
        <v>0</v>
      </c>
      <c r="AA4" s="95"/>
      <c r="AB4" s="79">
        <v>0</v>
      </c>
      <c r="AC4" s="79"/>
      <c r="AD4" s="76"/>
      <c r="AE4" s="76"/>
      <c r="AF4" s="76"/>
    </row>
    <row r="5" spans="1:34" ht="17" thickTop="1">
      <c r="A5" s="22"/>
      <c r="B5" s="19">
        <f>IF(B$2&gt;C5,0,C5)</f>
        <v>0</v>
      </c>
      <c r="C5" s="28">
        <f>C3</f>
        <v>45530</v>
      </c>
      <c r="D5" s="20">
        <f t="shared" ref="D5:D51" ca="1" si="1">TODAY()-C5</f>
        <v>-239</v>
      </c>
      <c r="E5" s="91" t="str">
        <f>IF(B5=0,"","Monday")</f>
        <v/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71" t="str">
        <f t="shared" ref="O5:O51" si="3">IF(B5=0,"",(F$3-G$3)/(A$3-B$2)+0.1)</f>
        <v/>
      </c>
      <c r="P5" s="172">
        <f t="shared" si="0"/>
        <v>100914.78556569738</v>
      </c>
      <c r="Q5" s="128">
        <f t="shared" ref="Q5:Q51" si="4">IF(R$2=3,P5,IF(R$2=2,P5*1.0936,IF(R$2=1,P5*0.000568181818*1.0936133,"")))</f>
        <v>100914.78556569738</v>
      </c>
      <c r="R5" s="128">
        <f>IF(R$2=3,H5+G5/1.0936133+F5/0.0006213712,IF(R$2=2,H5*1.0936133+G5+F5/0.0005681818,IF(R$2=1,H5*0.0005681818*1.0936133+G5*0.0005681818+F5,"")))</f>
        <v>0</v>
      </c>
      <c r="S5" s="195" t="str">
        <f>IF(R5=0,"",R5*IF(L5&gt;0,1,0))</f>
        <v/>
      </c>
      <c r="T5" s="128"/>
      <c r="U5" s="128"/>
      <c r="V5" s="129" t="str">
        <f t="shared" ref="V5:V11" si="5">IF(L5="","",IF(R5=0,"",IF(B5=0,"",IF($R$2=3,R5/L5*60/1000,IF($R$2=2,R5/L5*60/1760,IF($R$2=1,R5/L5*60,""))))))</f>
        <v/>
      </c>
      <c r="W5" s="129" t="str">
        <f t="shared" ref="W5:W11" si="6">IF(R5=0,"",IF(L5="","",V5*L5))</f>
        <v/>
      </c>
      <c r="X5" s="171">
        <f t="shared" ref="X5:Z11" si="7">F5+X4</f>
        <v>0</v>
      </c>
      <c r="Y5" s="171">
        <f t="shared" si="7"/>
        <v>0</v>
      </c>
      <c r="Z5" s="171">
        <f t="shared" si="7"/>
        <v>0</v>
      </c>
      <c r="AA5" s="186">
        <f t="shared" ref="AA5:AA51" si="8">Z5/1000+Y5/1093.6133+X5/0.621371192</f>
        <v>0</v>
      </c>
      <c r="AB5" s="187">
        <f>R5</f>
        <v>0</v>
      </c>
      <c r="AC5" s="95"/>
      <c r="AD5" s="77"/>
      <c r="AE5" s="77"/>
      <c r="AF5" s="77"/>
    </row>
    <row r="6" spans="1:34">
      <c r="A6" s="23"/>
      <c r="B6" s="4">
        <f t="shared" ref="B6:B11" si="9">IF(B$2&gt;C6,0,C6)</f>
        <v>0</v>
      </c>
      <c r="C6" s="29">
        <f>C3+1</f>
        <v>45531</v>
      </c>
      <c r="D6" s="6">
        <f t="shared" ca="1" si="1"/>
        <v>-240</v>
      </c>
      <c r="E6" s="90" t="str">
        <f>IF(B6=0,"","Tuesday")</f>
        <v/>
      </c>
      <c r="F6" s="45"/>
      <c r="G6" s="46"/>
      <c r="H6" s="46"/>
      <c r="I6" s="151"/>
      <c r="J6" s="46"/>
      <c r="K6" s="152" t="str">
        <f t="shared" ref="K6:K11" si="10">IF(R6=0,"",IF(L6="","",J6))</f>
        <v/>
      </c>
      <c r="L6" s="46"/>
      <c r="M6" s="46" t="str">
        <f t="shared" si="2"/>
        <v/>
      </c>
      <c r="N6" s="301"/>
      <c r="O6" s="171" t="str">
        <f t="shared" si="3"/>
        <v/>
      </c>
      <c r="P6" s="172">
        <f t="shared" si="0"/>
        <v>100914.78556569738</v>
      </c>
      <c r="Q6" s="128">
        <f t="shared" si="4"/>
        <v>100914.78556569738</v>
      </c>
      <c r="R6" s="128">
        <f t="shared" ref="R6:R11" si="11">IF(R$2=3,H6+G6/1.0936133+F6/0.0006213712,IF(R$2=2,H6*1.0936133+G6+F6/0.0005681818,IF(R$2=1,H6*0.0005681818*1.0936133+G6*0.0005681818+F6,"")))</f>
        <v>0</v>
      </c>
      <c r="S6" s="195" t="str">
        <f t="shared" ref="S6:S51" si="12">IF(R6=0,"",R6*IF(L6&gt;0,1,0))</f>
        <v/>
      </c>
      <c r="T6" s="128"/>
      <c r="U6" s="128"/>
      <c r="V6" s="129" t="str">
        <f t="shared" si="5"/>
        <v/>
      </c>
      <c r="W6" s="129" t="str">
        <f t="shared" si="6"/>
        <v/>
      </c>
      <c r="X6" s="171">
        <f t="shared" si="7"/>
        <v>0</v>
      </c>
      <c r="Y6" s="171">
        <f t="shared" si="7"/>
        <v>0</v>
      </c>
      <c r="Z6" s="171">
        <f t="shared" si="7"/>
        <v>0</v>
      </c>
      <c r="AA6" s="186">
        <f t="shared" si="8"/>
        <v>0</v>
      </c>
      <c r="AB6" s="173">
        <f t="shared" ref="AB6:AB51" si="13">AB5+R6</f>
        <v>0</v>
      </c>
      <c r="AC6" s="79"/>
      <c r="AD6" s="76"/>
      <c r="AE6" s="76"/>
      <c r="AF6" s="76"/>
      <c r="AH6" s="9"/>
    </row>
    <row r="7" spans="1:34">
      <c r="A7" s="23"/>
      <c r="B7" s="4">
        <f t="shared" si="9"/>
        <v>0</v>
      </c>
      <c r="C7" s="29">
        <f>C3+2</f>
        <v>45532</v>
      </c>
      <c r="D7" s="6">
        <f t="shared" ca="1" si="1"/>
        <v>-241</v>
      </c>
      <c r="E7" s="90" t="str">
        <f>IF(B7=0,"","Wednesday")</f>
        <v/>
      </c>
      <c r="F7" s="45"/>
      <c r="G7" s="46"/>
      <c r="H7" s="46"/>
      <c r="I7" s="151"/>
      <c r="J7" s="46"/>
      <c r="K7" s="152" t="str">
        <f t="shared" si="10"/>
        <v/>
      </c>
      <c r="L7" s="46"/>
      <c r="M7" s="46" t="str">
        <f t="shared" si="2"/>
        <v/>
      </c>
      <c r="N7" s="310"/>
      <c r="O7" s="171" t="str">
        <f t="shared" si="3"/>
        <v/>
      </c>
      <c r="P7" s="172">
        <f t="shared" si="0"/>
        <v>100914.78556569738</v>
      </c>
      <c r="Q7" s="128">
        <f t="shared" si="4"/>
        <v>100914.78556569738</v>
      </c>
      <c r="R7" s="128">
        <f t="shared" si="11"/>
        <v>0</v>
      </c>
      <c r="S7" s="195" t="str">
        <f t="shared" si="12"/>
        <v/>
      </c>
      <c r="T7" s="128"/>
      <c r="U7" s="128"/>
      <c r="V7" s="129" t="str">
        <f t="shared" si="5"/>
        <v/>
      </c>
      <c r="W7" s="129" t="str">
        <f t="shared" si="6"/>
        <v/>
      </c>
      <c r="X7" s="171">
        <f t="shared" si="7"/>
        <v>0</v>
      </c>
      <c r="Y7" s="171">
        <f t="shared" si="7"/>
        <v>0</v>
      </c>
      <c r="Z7" s="171">
        <f t="shared" si="7"/>
        <v>0</v>
      </c>
      <c r="AA7" s="186">
        <f t="shared" si="8"/>
        <v>0</v>
      </c>
      <c r="AB7" s="173">
        <f t="shared" si="13"/>
        <v>0</v>
      </c>
      <c r="AC7" s="79"/>
      <c r="AD7" s="76"/>
      <c r="AE7" s="76"/>
      <c r="AF7" s="76"/>
    </row>
    <row r="8" spans="1:34">
      <c r="A8" s="23"/>
      <c r="B8" s="4">
        <f t="shared" si="9"/>
        <v>0</v>
      </c>
      <c r="C8" s="29">
        <f>C3+3</f>
        <v>45533</v>
      </c>
      <c r="D8" s="6">
        <f t="shared" ca="1" si="1"/>
        <v>-242</v>
      </c>
      <c r="E8" s="90" t="str">
        <f>IF(B8=0,"","Thursday")</f>
        <v/>
      </c>
      <c r="F8" s="45"/>
      <c r="G8" s="46"/>
      <c r="H8" s="46"/>
      <c r="I8" s="151"/>
      <c r="J8" s="46"/>
      <c r="K8" s="152" t="str">
        <f t="shared" si="10"/>
        <v/>
      </c>
      <c r="L8" s="46"/>
      <c r="M8" s="46" t="str">
        <f t="shared" si="2"/>
        <v/>
      </c>
      <c r="N8" s="310"/>
      <c r="O8" s="171" t="str">
        <f t="shared" si="3"/>
        <v/>
      </c>
      <c r="P8" s="172">
        <f t="shared" si="0"/>
        <v>100914.78556569738</v>
      </c>
      <c r="Q8" s="128">
        <f t="shared" si="4"/>
        <v>100914.78556569738</v>
      </c>
      <c r="R8" s="128">
        <f t="shared" si="11"/>
        <v>0</v>
      </c>
      <c r="S8" s="195" t="str">
        <f t="shared" si="12"/>
        <v/>
      </c>
      <c r="T8" s="128"/>
      <c r="U8" s="128"/>
      <c r="V8" s="129" t="str">
        <f t="shared" si="5"/>
        <v/>
      </c>
      <c r="W8" s="129" t="str">
        <f t="shared" si="6"/>
        <v/>
      </c>
      <c r="X8" s="171">
        <f t="shared" si="7"/>
        <v>0</v>
      </c>
      <c r="Y8" s="171">
        <f t="shared" si="7"/>
        <v>0</v>
      </c>
      <c r="Z8" s="171">
        <f t="shared" si="7"/>
        <v>0</v>
      </c>
      <c r="AA8" s="186">
        <f t="shared" si="8"/>
        <v>0</v>
      </c>
      <c r="AB8" s="173">
        <f t="shared" si="13"/>
        <v>0</v>
      </c>
      <c r="AC8" s="79"/>
      <c r="AD8" s="76"/>
      <c r="AE8" s="76"/>
      <c r="AF8" s="76"/>
    </row>
    <row r="9" spans="1:34">
      <c r="A9" s="23"/>
      <c r="B9" s="4">
        <f t="shared" si="9"/>
        <v>0</v>
      </c>
      <c r="C9" s="29">
        <f>C3+4</f>
        <v>45534</v>
      </c>
      <c r="D9" s="6">
        <f t="shared" ca="1" si="1"/>
        <v>-243</v>
      </c>
      <c r="E9" s="90" t="str">
        <f>IF(B9=0,"","Friday")</f>
        <v/>
      </c>
      <c r="F9" s="45"/>
      <c r="G9" s="46"/>
      <c r="H9" s="46"/>
      <c r="I9" s="151"/>
      <c r="J9" s="46"/>
      <c r="K9" s="152" t="str">
        <f t="shared" si="10"/>
        <v/>
      </c>
      <c r="L9" s="46"/>
      <c r="M9" s="46" t="str">
        <f t="shared" si="2"/>
        <v/>
      </c>
      <c r="N9" s="301"/>
      <c r="O9" s="171" t="str">
        <f t="shared" si="3"/>
        <v/>
      </c>
      <c r="P9" s="172">
        <f t="shared" si="0"/>
        <v>100914.78556569738</v>
      </c>
      <c r="Q9" s="128">
        <f t="shared" si="4"/>
        <v>100914.78556569738</v>
      </c>
      <c r="R9" s="128">
        <f t="shared" si="11"/>
        <v>0</v>
      </c>
      <c r="S9" s="195" t="str">
        <f t="shared" si="12"/>
        <v/>
      </c>
      <c r="T9" s="128"/>
      <c r="U9" s="128"/>
      <c r="V9" s="129" t="str">
        <f t="shared" si="5"/>
        <v/>
      </c>
      <c r="W9" s="129" t="str">
        <f t="shared" si="6"/>
        <v/>
      </c>
      <c r="X9" s="171">
        <f t="shared" si="7"/>
        <v>0</v>
      </c>
      <c r="Y9" s="171">
        <f t="shared" si="7"/>
        <v>0</v>
      </c>
      <c r="Z9" s="171">
        <f t="shared" si="7"/>
        <v>0</v>
      </c>
      <c r="AA9" s="186">
        <f t="shared" si="8"/>
        <v>0</v>
      </c>
      <c r="AB9" s="173">
        <f t="shared" si="13"/>
        <v>0</v>
      </c>
      <c r="AC9" s="79"/>
      <c r="AD9" s="76"/>
      <c r="AE9" s="76"/>
      <c r="AF9" s="76"/>
    </row>
    <row r="10" spans="1:34">
      <c r="A10" s="23"/>
      <c r="B10" s="4">
        <f t="shared" si="9"/>
        <v>0</v>
      </c>
      <c r="C10" s="29">
        <f>C3+5</f>
        <v>45535</v>
      </c>
      <c r="D10" s="6">
        <f t="shared" ca="1" si="1"/>
        <v>-244</v>
      </c>
      <c r="E10" s="90" t="str">
        <f>IF(B10=0,"","Saturday")</f>
        <v/>
      </c>
      <c r="F10" s="45"/>
      <c r="G10" s="46"/>
      <c r="H10" s="46"/>
      <c r="I10" s="151"/>
      <c r="J10" s="46"/>
      <c r="K10" s="152" t="str">
        <f t="shared" si="10"/>
        <v/>
      </c>
      <c r="L10" s="46"/>
      <c r="M10" s="46" t="str">
        <f t="shared" si="2"/>
        <v/>
      </c>
      <c r="N10" s="310"/>
      <c r="O10" s="171" t="str">
        <f t="shared" si="3"/>
        <v/>
      </c>
      <c r="P10" s="172">
        <f t="shared" si="0"/>
        <v>100914.78556569738</v>
      </c>
      <c r="Q10" s="128">
        <f t="shared" si="4"/>
        <v>100914.78556569738</v>
      </c>
      <c r="R10" s="128">
        <f t="shared" si="11"/>
        <v>0</v>
      </c>
      <c r="S10" s="195" t="str">
        <f t="shared" si="12"/>
        <v/>
      </c>
      <c r="T10" s="128"/>
      <c r="U10" s="128"/>
      <c r="V10" s="129" t="str">
        <f t="shared" si="5"/>
        <v/>
      </c>
      <c r="W10" s="129" t="str">
        <f t="shared" si="6"/>
        <v/>
      </c>
      <c r="X10" s="171">
        <f t="shared" si="7"/>
        <v>0</v>
      </c>
      <c r="Y10" s="171">
        <f t="shared" si="7"/>
        <v>0</v>
      </c>
      <c r="Z10" s="171">
        <f t="shared" si="7"/>
        <v>0</v>
      </c>
      <c r="AA10" s="186">
        <f t="shared" si="8"/>
        <v>0</v>
      </c>
      <c r="AB10" s="173">
        <f t="shared" si="13"/>
        <v>0</v>
      </c>
      <c r="AC10" s="79"/>
      <c r="AD10" s="76"/>
      <c r="AE10" s="76"/>
      <c r="AF10" s="76"/>
    </row>
    <row r="11" spans="1:34" ht="17" thickBot="1">
      <c r="A11" s="23"/>
      <c r="B11" s="43">
        <f t="shared" si="9"/>
        <v>45536</v>
      </c>
      <c r="C11" s="32">
        <f>C3+6</f>
        <v>45536</v>
      </c>
      <c r="D11" s="44">
        <f t="shared" ca="1" si="1"/>
        <v>-245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0"/>
        <v/>
      </c>
      <c r="L11" s="46"/>
      <c r="M11" s="46" t="str">
        <f t="shared" si="2"/>
        <v/>
      </c>
      <c r="N11" s="310"/>
      <c r="O11" s="171">
        <f t="shared" si="3"/>
        <v>3363.892782848694</v>
      </c>
      <c r="P11" s="172">
        <f t="shared" si="0"/>
        <v>100914.78556569738</v>
      </c>
      <c r="Q11" s="128">
        <f t="shared" si="4"/>
        <v>100914.78556569738</v>
      </c>
      <c r="R11" s="128">
        <f t="shared" si="11"/>
        <v>0</v>
      </c>
      <c r="S11" s="195" t="str">
        <f t="shared" si="12"/>
        <v/>
      </c>
      <c r="T11" s="128"/>
      <c r="U11" s="128"/>
      <c r="V11" s="129" t="str">
        <f t="shared" si="5"/>
        <v/>
      </c>
      <c r="W11" s="129" t="str">
        <f t="shared" si="6"/>
        <v/>
      </c>
      <c r="X11" s="171">
        <f t="shared" si="7"/>
        <v>0</v>
      </c>
      <c r="Y11" s="171">
        <f t="shared" si="7"/>
        <v>0</v>
      </c>
      <c r="Z11" s="171">
        <f t="shared" si="7"/>
        <v>0</v>
      </c>
      <c r="AA11" s="186">
        <f t="shared" si="8"/>
        <v>0</v>
      </c>
      <c r="AB11" s="173">
        <f t="shared" si="13"/>
        <v>0</v>
      </c>
      <c r="AC11" s="79"/>
      <c r="AD11" s="76"/>
      <c r="AE11" s="76"/>
      <c r="AF11" s="76"/>
    </row>
    <row r="12" spans="1:34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71" t="str">
        <f t="shared" si="3"/>
        <v/>
      </c>
      <c r="P12" s="172"/>
      <c r="Q12" s="128">
        <f t="shared" si="4"/>
        <v>0</v>
      </c>
      <c r="R12" s="188"/>
      <c r="S12" s="195" t="str">
        <f t="shared" si="12"/>
        <v/>
      </c>
      <c r="T12" s="188"/>
      <c r="U12" s="188"/>
      <c r="V12" s="188"/>
      <c r="W12" s="188"/>
      <c r="X12" s="172"/>
      <c r="Y12" s="172"/>
      <c r="Z12" s="95"/>
      <c r="AA12" s="186">
        <f t="shared" si="8"/>
        <v>0</v>
      </c>
      <c r="AB12" s="173">
        <f t="shared" si="13"/>
        <v>0</v>
      </c>
      <c r="AC12" s="79"/>
      <c r="AD12" s="76"/>
      <c r="AE12" s="76"/>
      <c r="AF12" s="76"/>
    </row>
    <row r="13" spans="1:34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2.090222182721853</v>
      </c>
      <c r="G13" s="53">
        <f>H13*1.0936113</f>
        <v>3678.7911593117783</v>
      </c>
      <c r="H13" s="103">
        <f>SUM($O5:$O11)</f>
        <v>3363.892782848694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71" t="str">
        <f t="shared" si="3"/>
        <v/>
      </c>
      <c r="P13" s="172"/>
      <c r="Q13" s="128">
        <f t="shared" si="4"/>
        <v>0</v>
      </c>
      <c r="R13" s="189"/>
      <c r="S13" s="195" t="str">
        <f t="shared" si="12"/>
        <v/>
      </c>
      <c r="T13" s="189"/>
      <c r="U13" s="189"/>
      <c r="V13" s="189"/>
      <c r="W13" s="189"/>
      <c r="X13" s="172"/>
      <c r="Y13" s="172"/>
      <c r="Z13" s="95"/>
      <c r="AA13" s="186">
        <f t="shared" si="8"/>
        <v>0</v>
      </c>
      <c r="AB13" s="173">
        <f t="shared" si="13"/>
        <v>0</v>
      </c>
      <c r="AC13" s="79"/>
      <c r="AD13" s="76"/>
      <c r="AE13" s="76"/>
      <c r="AF13" s="76"/>
    </row>
    <row r="14" spans="1:34" ht="17" thickTop="1">
      <c r="A14" s="1"/>
      <c r="B14" s="47">
        <f t="shared" ref="B14:B20" si="14">IF(B$2&gt;C14,0,C14)</f>
        <v>45537</v>
      </c>
      <c r="C14" s="31">
        <f>C11+1</f>
        <v>45537</v>
      </c>
      <c r="D14" s="18">
        <f t="shared" ca="1" si="1"/>
        <v>-246</v>
      </c>
      <c r="E14" s="94" t="s">
        <v>1</v>
      </c>
      <c r="F14" s="45"/>
      <c r="G14" s="46"/>
      <c r="H14" s="46"/>
      <c r="I14" s="109"/>
      <c r="J14" s="101"/>
      <c r="K14" s="152" t="str">
        <f t="shared" ref="K14:K20" si="15">IF(R14=0,"",IF(L14="","",J14))</f>
        <v/>
      </c>
      <c r="L14" s="101"/>
      <c r="M14" s="46" t="str">
        <f t="shared" ref="M14:M20" si="16">IF(R14=0,"",IF(J14="","",L14))</f>
        <v/>
      </c>
      <c r="N14" s="310"/>
      <c r="O14" s="171">
        <f t="shared" si="3"/>
        <v>3363.892782848694</v>
      </c>
      <c r="P14" s="172">
        <f t="shared" ref="P14:P20" si="17">H$56</f>
        <v>100914.78556569738</v>
      </c>
      <c r="Q14" s="128">
        <f t="shared" si="4"/>
        <v>100914.78556569738</v>
      </c>
      <c r="R14" s="128">
        <f>IF(R$2=3,H14+G14/1.0936133+F14/0.0006213712,IF(R$2=2,H14*1.0936133+G14+F14/0.0005681818,IF(R$2=1,H14*0.0005681818*1.0936133+G14*0.0005681818+F14,"")))</f>
        <v>0</v>
      </c>
      <c r="S14" s="195" t="str">
        <f t="shared" si="12"/>
        <v/>
      </c>
      <c r="T14" s="128"/>
      <c r="U14" s="128"/>
      <c r="V14" s="129" t="str">
        <f t="shared" ref="V14:V20" si="18">IF(L14="","",IF(R14=0,"",IF(B14=0,"",IF($R$2=3,R14/L14*60/1000,IF($R$2=2,R14/L14*60/1760,IF($R$2=1,R14/L14*60,""))))))</f>
        <v/>
      </c>
      <c r="W14" s="129" t="str">
        <f t="shared" ref="W14:W20" si="19">IF(R14=0,"",IF(L14="","",V14*L14))</f>
        <v/>
      </c>
      <c r="X14" s="171">
        <f>F14+X11</f>
        <v>0</v>
      </c>
      <c r="Y14" s="171">
        <f>G14+Y11</f>
        <v>0</v>
      </c>
      <c r="Z14" s="171">
        <f>H14+Z11</f>
        <v>0</v>
      </c>
      <c r="AA14" s="186">
        <f t="shared" si="8"/>
        <v>0</v>
      </c>
      <c r="AB14" s="173">
        <f t="shared" si="13"/>
        <v>0</v>
      </c>
      <c r="AC14" s="79"/>
      <c r="AD14" s="76"/>
      <c r="AE14" s="76"/>
      <c r="AF14" s="76"/>
    </row>
    <row r="15" spans="1:34">
      <c r="A15" s="1"/>
      <c r="B15" s="4">
        <f t="shared" si="14"/>
        <v>45538</v>
      </c>
      <c r="C15" s="29">
        <f t="shared" ref="C15:C20" si="20">C14+1</f>
        <v>45538</v>
      </c>
      <c r="D15" s="6">
        <f t="shared" ca="1" si="1"/>
        <v>-247</v>
      </c>
      <c r="E15" s="90" t="s">
        <v>2</v>
      </c>
      <c r="F15" s="45"/>
      <c r="G15" s="46"/>
      <c r="H15" s="46"/>
      <c r="I15" s="151"/>
      <c r="J15" s="46"/>
      <c r="K15" s="152" t="str">
        <f t="shared" si="15"/>
        <v/>
      </c>
      <c r="L15" s="46"/>
      <c r="M15" s="46" t="str">
        <f t="shared" si="16"/>
        <v/>
      </c>
      <c r="N15" s="310"/>
      <c r="O15" s="171">
        <f t="shared" si="3"/>
        <v>3363.892782848694</v>
      </c>
      <c r="P15" s="172">
        <f t="shared" si="17"/>
        <v>100914.78556569738</v>
      </c>
      <c r="Q15" s="128">
        <f t="shared" si="4"/>
        <v>100914.78556569738</v>
      </c>
      <c r="R15" s="128">
        <f t="shared" ref="R15:R20" si="21">IF(R$2=3,H15+G15/1.0936133+F15/0.0006213712,IF(R$2=2,H15*1.0936133+G15+F15/0.0005681818,IF(R$2=1,H15*0.0005681818*1.0936133+G15*0.0005681818+F15,"")))</f>
        <v>0</v>
      </c>
      <c r="S15" s="195" t="str">
        <f t="shared" si="12"/>
        <v/>
      </c>
      <c r="T15" s="128"/>
      <c r="U15" s="128"/>
      <c r="V15" s="129" t="str">
        <f t="shared" si="18"/>
        <v/>
      </c>
      <c r="W15" s="129" t="str">
        <f t="shared" si="19"/>
        <v/>
      </c>
      <c r="X15" s="171">
        <f t="shared" ref="X15:Z20" si="22">F15+X14</f>
        <v>0</v>
      </c>
      <c r="Y15" s="171">
        <f t="shared" si="22"/>
        <v>0</v>
      </c>
      <c r="Z15" s="171">
        <f t="shared" si="22"/>
        <v>0</v>
      </c>
      <c r="AA15" s="186">
        <f t="shared" si="8"/>
        <v>0</v>
      </c>
      <c r="AB15" s="173">
        <f t="shared" si="13"/>
        <v>0</v>
      </c>
      <c r="AC15" s="79"/>
      <c r="AD15" s="76"/>
      <c r="AE15" s="76"/>
      <c r="AF15" s="76"/>
    </row>
    <row r="16" spans="1:34">
      <c r="A16" s="1"/>
      <c r="B16" s="4">
        <f t="shared" si="14"/>
        <v>45539</v>
      </c>
      <c r="C16" s="29">
        <f t="shared" si="20"/>
        <v>45539</v>
      </c>
      <c r="D16" s="6">
        <f t="shared" ca="1" si="1"/>
        <v>-248</v>
      </c>
      <c r="E16" s="90" t="s">
        <v>3</v>
      </c>
      <c r="F16" s="45"/>
      <c r="G16" s="46"/>
      <c r="H16" s="46"/>
      <c r="I16" s="151"/>
      <c r="J16" s="46"/>
      <c r="K16" s="152" t="str">
        <f t="shared" si="15"/>
        <v/>
      </c>
      <c r="L16" s="46"/>
      <c r="M16" s="46" t="str">
        <f t="shared" si="16"/>
        <v/>
      </c>
      <c r="N16" s="301"/>
      <c r="O16" s="171">
        <f t="shared" si="3"/>
        <v>3363.892782848694</v>
      </c>
      <c r="P16" s="172">
        <f t="shared" si="17"/>
        <v>100914.78556569738</v>
      </c>
      <c r="Q16" s="128">
        <f t="shared" si="4"/>
        <v>100914.78556569738</v>
      </c>
      <c r="R16" s="128">
        <f t="shared" si="21"/>
        <v>0</v>
      </c>
      <c r="S16" s="195" t="str">
        <f t="shared" si="12"/>
        <v/>
      </c>
      <c r="T16" s="128"/>
      <c r="U16" s="128"/>
      <c r="V16" s="129" t="str">
        <f t="shared" si="18"/>
        <v/>
      </c>
      <c r="W16" s="129" t="str">
        <f t="shared" si="19"/>
        <v/>
      </c>
      <c r="X16" s="171">
        <f t="shared" si="22"/>
        <v>0</v>
      </c>
      <c r="Y16" s="171">
        <f t="shared" si="22"/>
        <v>0</v>
      </c>
      <c r="Z16" s="171">
        <f t="shared" si="22"/>
        <v>0</v>
      </c>
      <c r="AA16" s="186">
        <f t="shared" si="8"/>
        <v>0</v>
      </c>
      <c r="AB16" s="173">
        <f t="shared" si="13"/>
        <v>0</v>
      </c>
      <c r="AC16" s="79"/>
      <c r="AD16" s="76"/>
      <c r="AE16" s="76"/>
      <c r="AF16" s="76"/>
    </row>
    <row r="17" spans="1:32">
      <c r="A17" s="1"/>
      <c r="B17" s="4">
        <f t="shared" si="14"/>
        <v>45540</v>
      </c>
      <c r="C17" s="29">
        <f t="shared" si="20"/>
        <v>45540</v>
      </c>
      <c r="D17" s="6">
        <f t="shared" ca="1" si="1"/>
        <v>-249</v>
      </c>
      <c r="E17" s="90" t="s">
        <v>4</v>
      </c>
      <c r="F17" s="45"/>
      <c r="G17" s="46"/>
      <c r="H17" s="46"/>
      <c r="I17" s="151"/>
      <c r="J17" s="46"/>
      <c r="K17" s="152" t="str">
        <f t="shared" si="15"/>
        <v/>
      </c>
      <c r="L17" s="46"/>
      <c r="M17" s="46" t="str">
        <f t="shared" si="16"/>
        <v/>
      </c>
      <c r="N17" s="310"/>
      <c r="O17" s="171">
        <f t="shared" si="3"/>
        <v>3363.892782848694</v>
      </c>
      <c r="P17" s="172">
        <f t="shared" si="17"/>
        <v>100914.78556569738</v>
      </c>
      <c r="Q17" s="128">
        <f t="shared" si="4"/>
        <v>100914.78556569738</v>
      </c>
      <c r="R17" s="128">
        <f t="shared" si="21"/>
        <v>0</v>
      </c>
      <c r="S17" s="195" t="str">
        <f t="shared" si="12"/>
        <v/>
      </c>
      <c r="T17" s="128"/>
      <c r="U17" s="128"/>
      <c r="V17" s="129" t="str">
        <f t="shared" si="18"/>
        <v/>
      </c>
      <c r="W17" s="129" t="str">
        <f t="shared" si="19"/>
        <v/>
      </c>
      <c r="X17" s="171">
        <f t="shared" si="22"/>
        <v>0</v>
      </c>
      <c r="Y17" s="171">
        <f t="shared" si="22"/>
        <v>0</v>
      </c>
      <c r="Z17" s="171">
        <f t="shared" si="22"/>
        <v>0</v>
      </c>
      <c r="AA17" s="186">
        <f t="shared" si="8"/>
        <v>0</v>
      </c>
      <c r="AB17" s="173">
        <f t="shared" si="13"/>
        <v>0</v>
      </c>
      <c r="AC17" s="79"/>
      <c r="AD17" s="76"/>
      <c r="AE17" s="76"/>
      <c r="AF17" s="76"/>
    </row>
    <row r="18" spans="1:32">
      <c r="A18" s="1"/>
      <c r="B18" s="4">
        <f t="shared" si="14"/>
        <v>45541</v>
      </c>
      <c r="C18" s="29">
        <f t="shared" si="20"/>
        <v>45541</v>
      </c>
      <c r="D18" s="6">
        <f t="shared" ca="1" si="1"/>
        <v>-250</v>
      </c>
      <c r="E18" s="90" t="s">
        <v>5</v>
      </c>
      <c r="F18" s="45"/>
      <c r="G18" s="46"/>
      <c r="H18" s="46"/>
      <c r="I18" s="151"/>
      <c r="J18" s="46"/>
      <c r="K18" s="152" t="str">
        <f t="shared" si="15"/>
        <v/>
      </c>
      <c r="L18" s="46"/>
      <c r="M18" s="46" t="str">
        <f t="shared" si="16"/>
        <v/>
      </c>
      <c r="N18" s="301"/>
      <c r="O18" s="171">
        <f t="shared" si="3"/>
        <v>3363.892782848694</v>
      </c>
      <c r="P18" s="172">
        <f t="shared" si="17"/>
        <v>100914.78556569738</v>
      </c>
      <c r="Q18" s="128">
        <f t="shared" si="4"/>
        <v>100914.78556569738</v>
      </c>
      <c r="R18" s="128">
        <f t="shared" si="21"/>
        <v>0</v>
      </c>
      <c r="S18" s="195" t="str">
        <f t="shared" si="12"/>
        <v/>
      </c>
      <c r="T18" s="128"/>
      <c r="U18" s="128"/>
      <c r="V18" s="129" t="str">
        <f t="shared" si="18"/>
        <v/>
      </c>
      <c r="W18" s="129" t="str">
        <f t="shared" si="19"/>
        <v/>
      </c>
      <c r="X18" s="171">
        <f t="shared" si="22"/>
        <v>0</v>
      </c>
      <c r="Y18" s="171">
        <f t="shared" si="22"/>
        <v>0</v>
      </c>
      <c r="Z18" s="171">
        <f t="shared" si="22"/>
        <v>0</v>
      </c>
      <c r="AA18" s="186">
        <f t="shared" si="8"/>
        <v>0</v>
      </c>
      <c r="AB18" s="173">
        <f t="shared" si="13"/>
        <v>0</v>
      </c>
      <c r="AC18" s="79"/>
      <c r="AD18" s="76"/>
      <c r="AE18" s="76"/>
      <c r="AF18" s="76"/>
    </row>
    <row r="19" spans="1:32">
      <c r="A19" s="1"/>
      <c r="B19" s="4">
        <f t="shared" si="14"/>
        <v>45542</v>
      </c>
      <c r="C19" s="29">
        <f t="shared" si="20"/>
        <v>45542</v>
      </c>
      <c r="D19" s="6">
        <f t="shared" ca="1" si="1"/>
        <v>-251</v>
      </c>
      <c r="E19" s="90" t="s">
        <v>6</v>
      </c>
      <c r="F19" s="45"/>
      <c r="G19" s="46"/>
      <c r="H19" s="46"/>
      <c r="I19" s="151"/>
      <c r="J19" s="46"/>
      <c r="K19" s="152" t="str">
        <f t="shared" si="15"/>
        <v/>
      </c>
      <c r="L19" s="46"/>
      <c r="M19" s="46" t="str">
        <f t="shared" si="16"/>
        <v/>
      </c>
      <c r="N19" s="310"/>
      <c r="O19" s="171">
        <f t="shared" si="3"/>
        <v>3363.892782848694</v>
      </c>
      <c r="P19" s="172">
        <f t="shared" si="17"/>
        <v>100914.78556569738</v>
      </c>
      <c r="Q19" s="128">
        <f t="shared" si="4"/>
        <v>100914.78556569738</v>
      </c>
      <c r="R19" s="128">
        <f t="shared" si="21"/>
        <v>0</v>
      </c>
      <c r="S19" s="195" t="str">
        <f t="shared" si="12"/>
        <v/>
      </c>
      <c r="T19" s="128"/>
      <c r="U19" s="128"/>
      <c r="V19" s="129" t="str">
        <f t="shared" si="18"/>
        <v/>
      </c>
      <c r="W19" s="129" t="str">
        <f t="shared" si="19"/>
        <v/>
      </c>
      <c r="X19" s="171">
        <f t="shared" si="22"/>
        <v>0</v>
      </c>
      <c r="Y19" s="171">
        <f t="shared" si="22"/>
        <v>0</v>
      </c>
      <c r="Z19" s="171">
        <f t="shared" si="22"/>
        <v>0</v>
      </c>
      <c r="AA19" s="186">
        <f t="shared" si="8"/>
        <v>0</v>
      </c>
      <c r="AB19" s="173">
        <f t="shared" si="13"/>
        <v>0</v>
      </c>
      <c r="AC19" s="79"/>
      <c r="AD19" s="76"/>
      <c r="AE19" s="76"/>
      <c r="AF19" s="76"/>
    </row>
    <row r="20" spans="1:32" ht="17" thickBot="1">
      <c r="A20" s="1"/>
      <c r="B20" s="43">
        <f t="shared" si="14"/>
        <v>45543</v>
      </c>
      <c r="C20" s="32">
        <f t="shared" si="20"/>
        <v>45543</v>
      </c>
      <c r="D20" s="44">
        <f t="shared" ca="1" si="1"/>
        <v>-252</v>
      </c>
      <c r="E20" s="93" t="s">
        <v>7</v>
      </c>
      <c r="F20" s="45"/>
      <c r="G20" s="46"/>
      <c r="H20" s="46"/>
      <c r="I20" s="151"/>
      <c r="J20" s="46"/>
      <c r="K20" s="152" t="str">
        <f t="shared" si="15"/>
        <v/>
      </c>
      <c r="L20" s="46"/>
      <c r="M20" s="46" t="str">
        <f t="shared" si="16"/>
        <v/>
      </c>
      <c r="N20" s="303"/>
      <c r="O20" s="171">
        <f t="shared" si="3"/>
        <v>3363.892782848694</v>
      </c>
      <c r="P20" s="172">
        <f t="shared" si="17"/>
        <v>100914.78556569738</v>
      </c>
      <c r="Q20" s="128">
        <f t="shared" si="4"/>
        <v>100914.78556569738</v>
      </c>
      <c r="R20" s="128">
        <f t="shared" si="21"/>
        <v>0</v>
      </c>
      <c r="S20" s="195" t="str">
        <f t="shared" si="12"/>
        <v/>
      </c>
      <c r="T20" s="128"/>
      <c r="U20" s="128"/>
      <c r="V20" s="129" t="str">
        <f t="shared" si="18"/>
        <v/>
      </c>
      <c r="W20" s="129" t="str">
        <f t="shared" si="19"/>
        <v/>
      </c>
      <c r="X20" s="171">
        <f t="shared" si="22"/>
        <v>0</v>
      </c>
      <c r="Y20" s="171">
        <f t="shared" si="22"/>
        <v>0</v>
      </c>
      <c r="Z20" s="171">
        <f t="shared" si="22"/>
        <v>0</v>
      </c>
      <c r="AA20" s="186">
        <f t="shared" si="8"/>
        <v>0</v>
      </c>
      <c r="AB20" s="173">
        <f t="shared" si="13"/>
        <v>0</v>
      </c>
      <c r="AC20" s="79"/>
      <c r="AD20" s="76"/>
      <c r="AE20" s="76"/>
      <c r="AF20" s="76"/>
    </row>
    <row r="21" spans="1:32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71" t="str">
        <f t="shared" si="3"/>
        <v/>
      </c>
      <c r="P21" s="172"/>
      <c r="Q21" s="128">
        <f t="shared" si="4"/>
        <v>0</v>
      </c>
      <c r="R21" s="188"/>
      <c r="S21" s="195" t="str">
        <f t="shared" si="12"/>
        <v/>
      </c>
      <c r="T21" s="188"/>
      <c r="U21" s="188"/>
      <c r="V21" s="188"/>
      <c r="W21" s="188"/>
      <c r="X21" s="95"/>
      <c r="Y21" s="95"/>
      <c r="Z21" s="95"/>
      <c r="AA21" s="186">
        <f t="shared" si="8"/>
        <v>0</v>
      </c>
      <c r="AB21" s="173">
        <f t="shared" si="13"/>
        <v>0</v>
      </c>
      <c r="AC21" s="79"/>
      <c r="AD21" s="76"/>
      <c r="AE21" s="76"/>
      <c r="AF21" s="76"/>
    </row>
    <row r="22" spans="1:32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14.631400259692905</v>
      </c>
      <c r="G22" s="53">
        <f>H22*1.0936113</f>
        <v>25751.265281100001</v>
      </c>
      <c r="H22" s="104">
        <f>INT(SUM($O14:$O20))</f>
        <v>23547</v>
      </c>
      <c r="I22" s="120"/>
      <c r="J22" s="499"/>
      <c r="K22" s="500"/>
      <c r="L22" s="500"/>
      <c r="M22" s="500"/>
      <c r="N22" s="500"/>
      <c r="O22" s="171" t="str">
        <f t="shared" si="3"/>
        <v/>
      </c>
      <c r="P22" s="172"/>
      <c r="Q22" s="128">
        <f t="shared" si="4"/>
        <v>0</v>
      </c>
      <c r="R22" s="189"/>
      <c r="S22" s="195" t="str">
        <f t="shared" si="12"/>
        <v/>
      </c>
      <c r="T22" s="189"/>
      <c r="U22" s="189"/>
      <c r="V22" s="189"/>
      <c r="W22" s="189"/>
      <c r="X22" s="95"/>
      <c r="Y22" s="95"/>
      <c r="Z22" s="95"/>
      <c r="AA22" s="186">
        <f t="shared" si="8"/>
        <v>0</v>
      </c>
      <c r="AB22" s="173">
        <f t="shared" si="13"/>
        <v>0</v>
      </c>
      <c r="AC22" s="79"/>
      <c r="AD22" s="76"/>
      <c r="AE22" s="76"/>
      <c r="AF22" s="76"/>
    </row>
    <row r="23" spans="1:32" ht="17" thickTop="1">
      <c r="A23" s="1"/>
      <c r="B23" s="47">
        <f t="shared" ref="B23:B29" si="23">IF(B$2&gt;C23,0,C23)</f>
        <v>45544</v>
      </c>
      <c r="C23" s="31">
        <f>C20+1</f>
        <v>45544</v>
      </c>
      <c r="D23" s="18">
        <f t="shared" ca="1" si="1"/>
        <v>-253</v>
      </c>
      <c r="E23" s="94" t="s">
        <v>1</v>
      </c>
      <c r="F23" s="45"/>
      <c r="G23" s="46"/>
      <c r="H23" s="46"/>
      <c r="I23" s="151"/>
      <c r="J23" s="46"/>
      <c r="K23" s="152" t="str">
        <f t="shared" ref="K23:K29" si="24">IF(R23=0,"",IF(L23="","",J23))</f>
        <v/>
      </c>
      <c r="L23" s="101"/>
      <c r="M23" s="46" t="str">
        <f t="shared" ref="M23:M29" si="25">IF(R23=0,"",IF(J23="","",L23))</f>
        <v/>
      </c>
      <c r="N23" s="301"/>
      <c r="O23" s="171">
        <f t="shared" si="3"/>
        <v>3363.892782848694</v>
      </c>
      <c r="P23" s="172">
        <f t="shared" ref="P23:P29" si="26">H$56</f>
        <v>100914.78556569738</v>
      </c>
      <c r="Q23" s="128">
        <f t="shared" si="4"/>
        <v>100914.78556569738</v>
      </c>
      <c r="R23" s="128">
        <f>IF(R$2=3,H23+G23/1.0936133+F23/0.0006213712,IF(R$2=2,H23*1.0936133+G23+F23/0.0005681818,IF(R$2=1,H23*0.0005681818*1.0936133+G23*0.0005681818+F23,"")))</f>
        <v>0</v>
      </c>
      <c r="S23" s="195" t="str">
        <f t="shared" si="12"/>
        <v/>
      </c>
      <c r="T23" s="128"/>
      <c r="U23" s="128"/>
      <c r="V23" s="129" t="str">
        <f t="shared" ref="V23:V29" si="27">IF(L23="","",IF(R23=0,"",IF(B23=0,"",IF($R$2=3,R23/L23*60/1000,IF($R$2=2,R23/L23*60/1760,IF($R$2=1,R23/L23*60,""))))))</f>
        <v/>
      </c>
      <c r="W23" s="129" t="str">
        <f t="shared" ref="W23:W29" si="28">IF(R23=0,"",IF(L23="","",V23*L23))</f>
        <v/>
      </c>
      <c r="X23" s="171">
        <f>F23+X20</f>
        <v>0</v>
      </c>
      <c r="Y23" s="171">
        <f>G23+Y20</f>
        <v>0</v>
      </c>
      <c r="Z23" s="171">
        <f>H23+Z20</f>
        <v>0</v>
      </c>
      <c r="AA23" s="186">
        <f t="shared" si="8"/>
        <v>0</v>
      </c>
      <c r="AB23" s="173">
        <f t="shared" si="13"/>
        <v>0</v>
      </c>
      <c r="AC23" s="79"/>
      <c r="AD23" s="76"/>
      <c r="AE23" s="76"/>
      <c r="AF23" s="76"/>
    </row>
    <row r="24" spans="1:32">
      <c r="A24" s="1"/>
      <c r="B24" s="4">
        <f t="shared" si="23"/>
        <v>45545</v>
      </c>
      <c r="C24" s="29">
        <f t="shared" ref="C24:C29" si="29">C23+1</f>
        <v>45545</v>
      </c>
      <c r="D24" s="6">
        <f t="shared" ca="1" si="1"/>
        <v>-254</v>
      </c>
      <c r="E24" s="90" t="s">
        <v>2</v>
      </c>
      <c r="F24" s="45"/>
      <c r="G24" s="46"/>
      <c r="H24" s="46"/>
      <c r="I24" s="151"/>
      <c r="J24" s="46"/>
      <c r="K24" s="152" t="str">
        <f t="shared" si="24"/>
        <v/>
      </c>
      <c r="L24" s="46"/>
      <c r="M24" s="46" t="str">
        <f t="shared" si="25"/>
        <v/>
      </c>
      <c r="N24" s="301"/>
      <c r="O24" s="171">
        <f t="shared" si="3"/>
        <v>3363.892782848694</v>
      </c>
      <c r="P24" s="172">
        <f t="shared" si="26"/>
        <v>100914.78556569738</v>
      </c>
      <c r="Q24" s="128">
        <f t="shared" si="4"/>
        <v>100914.78556569738</v>
      </c>
      <c r="R24" s="128">
        <f t="shared" ref="R24:R29" si="30">IF(R$2=3,H24+G24/1.0936133+F24/0.0006213712,IF(R$2=2,H24*1.0936133+G24+F24/0.0005681818,IF(R$2=1,H24*0.0005681818*1.0936133+G24*0.0005681818+F24,"")))</f>
        <v>0</v>
      </c>
      <c r="S24" s="195" t="str">
        <f t="shared" si="12"/>
        <v/>
      </c>
      <c r="T24" s="128"/>
      <c r="U24" s="128"/>
      <c r="V24" s="129" t="str">
        <f t="shared" si="27"/>
        <v/>
      </c>
      <c r="W24" s="129" t="str">
        <f t="shared" si="28"/>
        <v/>
      </c>
      <c r="X24" s="171">
        <f t="shared" ref="X24:Z29" si="31">F24+X23</f>
        <v>0</v>
      </c>
      <c r="Y24" s="171">
        <f t="shared" si="31"/>
        <v>0</v>
      </c>
      <c r="Z24" s="171">
        <f t="shared" si="31"/>
        <v>0</v>
      </c>
      <c r="AA24" s="186">
        <f t="shared" si="8"/>
        <v>0</v>
      </c>
      <c r="AB24" s="173">
        <f t="shared" si="13"/>
        <v>0</v>
      </c>
      <c r="AC24" s="79"/>
      <c r="AD24" s="76"/>
      <c r="AE24" s="76"/>
      <c r="AF24" s="76"/>
    </row>
    <row r="25" spans="1:32">
      <c r="A25" s="1"/>
      <c r="B25" s="4">
        <f t="shared" si="23"/>
        <v>45546</v>
      </c>
      <c r="C25" s="29">
        <f t="shared" si="29"/>
        <v>45546</v>
      </c>
      <c r="D25" s="6">
        <f t="shared" ca="1" si="1"/>
        <v>-255</v>
      </c>
      <c r="E25" s="90" t="s">
        <v>3</v>
      </c>
      <c r="F25" s="45"/>
      <c r="G25" s="46"/>
      <c r="H25" s="46"/>
      <c r="I25" s="151"/>
      <c r="J25" s="46"/>
      <c r="K25" s="152" t="str">
        <f t="shared" si="24"/>
        <v/>
      </c>
      <c r="L25" s="46"/>
      <c r="M25" s="46" t="str">
        <f t="shared" si="25"/>
        <v/>
      </c>
      <c r="N25" s="301"/>
      <c r="O25" s="171">
        <f t="shared" si="3"/>
        <v>3363.892782848694</v>
      </c>
      <c r="P25" s="172">
        <f t="shared" si="26"/>
        <v>100914.78556569738</v>
      </c>
      <c r="Q25" s="128">
        <f t="shared" si="4"/>
        <v>100914.78556569738</v>
      </c>
      <c r="R25" s="128">
        <f t="shared" si="30"/>
        <v>0</v>
      </c>
      <c r="S25" s="195" t="str">
        <f t="shared" si="12"/>
        <v/>
      </c>
      <c r="T25" s="128"/>
      <c r="U25" s="128"/>
      <c r="V25" s="129" t="str">
        <f t="shared" si="27"/>
        <v/>
      </c>
      <c r="W25" s="129" t="str">
        <f t="shared" si="28"/>
        <v/>
      </c>
      <c r="X25" s="171">
        <f t="shared" si="31"/>
        <v>0</v>
      </c>
      <c r="Y25" s="171">
        <f t="shared" si="31"/>
        <v>0</v>
      </c>
      <c r="Z25" s="171">
        <f t="shared" si="31"/>
        <v>0</v>
      </c>
      <c r="AA25" s="186">
        <f t="shared" si="8"/>
        <v>0</v>
      </c>
      <c r="AB25" s="173">
        <f t="shared" si="13"/>
        <v>0</v>
      </c>
      <c r="AC25" s="79"/>
      <c r="AD25" s="76"/>
      <c r="AE25" s="76"/>
      <c r="AF25" s="76"/>
    </row>
    <row r="26" spans="1:32">
      <c r="A26" s="1"/>
      <c r="B26" s="4">
        <f t="shared" si="23"/>
        <v>45547</v>
      </c>
      <c r="C26" s="29">
        <f t="shared" si="29"/>
        <v>45547</v>
      </c>
      <c r="D26" s="6">
        <f t="shared" ca="1" si="1"/>
        <v>-256</v>
      </c>
      <c r="E26" s="90" t="s">
        <v>4</v>
      </c>
      <c r="F26" s="45"/>
      <c r="G26" s="46"/>
      <c r="H26" s="46"/>
      <c r="I26" s="151"/>
      <c r="J26" s="46"/>
      <c r="K26" s="152" t="str">
        <f t="shared" si="24"/>
        <v/>
      </c>
      <c r="L26" s="46"/>
      <c r="M26" s="46" t="str">
        <f t="shared" si="25"/>
        <v/>
      </c>
      <c r="N26" s="301"/>
      <c r="O26" s="171">
        <f t="shared" si="3"/>
        <v>3363.892782848694</v>
      </c>
      <c r="P26" s="172">
        <f t="shared" si="26"/>
        <v>100914.78556569738</v>
      </c>
      <c r="Q26" s="128">
        <f t="shared" si="4"/>
        <v>100914.78556569738</v>
      </c>
      <c r="R26" s="128">
        <f t="shared" si="30"/>
        <v>0</v>
      </c>
      <c r="S26" s="195" t="str">
        <f t="shared" si="12"/>
        <v/>
      </c>
      <c r="T26" s="128"/>
      <c r="U26" s="128"/>
      <c r="V26" s="129" t="str">
        <f t="shared" si="27"/>
        <v/>
      </c>
      <c r="W26" s="129" t="str">
        <f t="shared" si="28"/>
        <v/>
      </c>
      <c r="X26" s="171">
        <f t="shared" si="31"/>
        <v>0</v>
      </c>
      <c r="Y26" s="171">
        <f t="shared" si="31"/>
        <v>0</v>
      </c>
      <c r="Z26" s="171">
        <f t="shared" si="31"/>
        <v>0</v>
      </c>
      <c r="AA26" s="186">
        <f t="shared" si="8"/>
        <v>0</v>
      </c>
      <c r="AB26" s="173">
        <f t="shared" si="13"/>
        <v>0</v>
      </c>
      <c r="AC26" s="79"/>
      <c r="AD26" s="76"/>
      <c r="AE26" s="76"/>
      <c r="AF26" s="76"/>
    </row>
    <row r="27" spans="1:32">
      <c r="A27" s="1"/>
      <c r="B27" s="4">
        <f t="shared" si="23"/>
        <v>45548</v>
      </c>
      <c r="C27" s="29">
        <f t="shared" si="29"/>
        <v>45548</v>
      </c>
      <c r="D27" s="6">
        <f t="shared" ca="1" si="1"/>
        <v>-257</v>
      </c>
      <c r="E27" s="90" t="s">
        <v>5</v>
      </c>
      <c r="F27" s="45"/>
      <c r="G27" s="46"/>
      <c r="H27" s="46"/>
      <c r="I27" s="151"/>
      <c r="J27" s="46"/>
      <c r="K27" s="152" t="str">
        <f t="shared" si="24"/>
        <v/>
      </c>
      <c r="L27" s="46"/>
      <c r="M27" s="46" t="str">
        <f t="shared" si="25"/>
        <v/>
      </c>
      <c r="N27" s="301"/>
      <c r="O27" s="171">
        <f t="shared" si="3"/>
        <v>3363.892782848694</v>
      </c>
      <c r="P27" s="172">
        <f t="shared" si="26"/>
        <v>100914.78556569738</v>
      </c>
      <c r="Q27" s="128">
        <f t="shared" si="4"/>
        <v>100914.78556569738</v>
      </c>
      <c r="R27" s="128">
        <f t="shared" si="30"/>
        <v>0</v>
      </c>
      <c r="S27" s="195" t="str">
        <f t="shared" si="12"/>
        <v/>
      </c>
      <c r="T27" s="128"/>
      <c r="U27" s="128"/>
      <c r="V27" s="129" t="str">
        <f t="shared" si="27"/>
        <v/>
      </c>
      <c r="W27" s="129" t="str">
        <f t="shared" si="28"/>
        <v/>
      </c>
      <c r="X27" s="171">
        <f t="shared" si="31"/>
        <v>0</v>
      </c>
      <c r="Y27" s="171">
        <f t="shared" si="31"/>
        <v>0</v>
      </c>
      <c r="Z27" s="171">
        <f t="shared" si="31"/>
        <v>0</v>
      </c>
      <c r="AA27" s="186">
        <f t="shared" si="8"/>
        <v>0</v>
      </c>
      <c r="AB27" s="173">
        <f t="shared" si="13"/>
        <v>0</v>
      </c>
      <c r="AC27" s="79"/>
      <c r="AD27" s="76"/>
      <c r="AE27" s="76"/>
      <c r="AF27" s="76"/>
    </row>
    <row r="28" spans="1:32">
      <c r="A28" s="1"/>
      <c r="B28" s="4">
        <f t="shared" si="23"/>
        <v>45549</v>
      </c>
      <c r="C28" s="29">
        <f t="shared" si="29"/>
        <v>45549</v>
      </c>
      <c r="D28" s="6">
        <f t="shared" ca="1" si="1"/>
        <v>-258</v>
      </c>
      <c r="E28" s="90" t="s">
        <v>6</v>
      </c>
      <c r="F28" s="45"/>
      <c r="G28" s="46"/>
      <c r="H28" s="46"/>
      <c r="I28" s="151"/>
      <c r="J28" s="46"/>
      <c r="K28" s="152" t="str">
        <f t="shared" si="24"/>
        <v/>
      </c>
      <c r="L28" s="46"/>
      <c r="M28" s="46" t="str">
        <f t="shared" si="25"/>
        <v/>
      </c>
      <c r="N28" s="301"/>
      <c r="O28" s="171">
        <f t="shared" si="3"/>
        <v>3363.892782848694</v>
      </c>
      <c r="P28" s="172">
        <f t="shared" si="26"/>
        <v>100914.78556569738</v>
      </c>
      <c r="Q28" s="128">
        <f t="shared" si="4"/>
        <v>100914.78556569738</v>
      </c>
      <c r="R28" s="128">
        <f t="shared" si="30"/>
        <v>0</v>
      </c>
      <c r="S28" s="195" t="str">
        <f t="shared" si="12"/>
        <v/>
      </c>
      <c r="T28" s="128"/>
      <c r="U28" s="128"/>
      <c r="V28" s="129" t="str">
        <f t="shared" si="27"/>
        <v/>
      </c>
      <c r="W28" s="129" t="str">
        <f t="shared" si="28"/>
        <v/>
      </c>
      <c r="X28" s="171">
        <f t="shared" si="31"/>
        <v>0</v>
      </c>
      <c r="Y28" s="171">
        <f t="shared" si="31"/>
        <v>0</v>
      </c>
      <c r="Z28" s="171">
        <f t="shared" si="31"/>
        <v>0</v>
      </c>
      <c r="AA28" s="186">
        <f t="shared" si="8"/>
        <v>0</v>
      </c>
      <c r="AB28" s="173">
        <f t="shared" si="13"/>
        <v>0</v>
      </c>
      <c r="AC28" s="79"/>
      <c r="AD28" s="76"/>
      <c r="AE28" s="76"/>
      <c r="AF28" s="76"/>
    </row>
    <row r="29" spans="1:32" ht="17" thickBot="1">
      <c r="A29" s="1"/>
      <c r="B29" s="43">
        <f t="shared" si="23"/>
        <v>45550</v>
      </c>
      <c r="C29" s="32">
        <f t="shared" si="29"/>
        <v>45550</v>
      </c>
      <c r="D29" s="44">
        <f t="shared" ca="1" si="1"/>
        <v>-259</v>
      </c>
      <c r="E29" s="93" t="s">
        <v>7</v>
      </c>
      <c r="F29" s="45"/>
      <c r="G29" s="46"/>
      <c r="H29" s="46"/>
      <c r="I29" s="151"/>
      <c r="J29" s="46"/>
      <c r="K29" s="152" t="str">
        <f t="shared" si="24"/>
        <v/>
      </c>
      <c r="L29" s="46"/>
      <c r="M29" s="46" t="str">
        <f t="shared" si="25"/>
        <v/>
      </c>
      <c r="N29" s="301"/>
      <c r="O29" s="171">
        <f t="shared" si="3"/>
        <v>3363.892782848694</v>
      </c>
      <c r="P29" s="172">
        <f t="shared" si="26"/>
        <v>100914.78556569738</v>
      </c>
      <c r="Q29" s="128">
        <f t="shared" si="4"/>
        <v>100914.78556569738</v>
      </c>
      <c r="R29" s="128">
        <f t="shared" si="30"/>
        <v>0</v>
      </c>
      <c r="S29" s="195" t="str">
        <f t="shared" si="12"/>
        <v/>
      </c>
      <c r="T29" s="128"/>
      <c r="U29" s="128"/>
      <c r="V29" s="129" t="str">
        <f t="shared" si="27"/>
        <v/>
      </c>
      <c r="W29" s="129" t="str">
        <f t="shared" si="28"/>
        <v/>
      </c>
      <c r="X29" s="171">
        <f t="shared" si="31"/>
        <v>0</v>
      </c>
      <c r="Y29" s="171">
        <f t="shared" si="31"/>
        <v>0</v>
      </c>
      <c r="Z29" s="171">
        <f t="shared" si="31"/>
        <v>0</v>
      </c>
      <c r="AA29" s="186">
        <f t="shared" si="8"/>
        <v>0</v>
      </c>
      <c r="AB29" s="173">
        <f t="shared" si="13"/>
        <v>0</v>
      </c>
      <c r="AC29" s="79"/>
      <c r="AD29" s="76"/>
      <c r="AE29" s="76"/>
      <c r="AF29" s="76"/>
    </row>
    <row r="30" spans="1:32" ht="17" customHeight="1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71" t="str">
        <f t="shared" si="3"/>
        <v/>
      </c>
      <c r="P30" s="172"/>
      <c r="Q30" s="128">
        <f t="shared" si="4"/>
        <v>0</v>
      </c>
      <c r="R30" s="188"/>
      <c r="S30" s="195" t="str">
        <f t="shared" si="12"/>
        <v/>
      </c>
      <c r="T30" s="188"/>
      <c r="U30" s="188"/>
      <c r="V30" s="188"/>
      <c r="W30" s="188"/>
      <c r="X30" s="95"/>
      <c r="Y30" s="95"/>
      <c r="Z30" s="95"/>
      <c r="AA30" s="186">
        <f t="shared" si="8"/>
        <v>0</v>
      </c>
      <c r="AB30" s="173">
        <f t="shared" si="13"/>
        <v>0</v>
      </c>
      <c r="AC30" s="79"/>
      <c r="AD30" s="76"/>
      <c r="AE30" s="76"/>
      <c r="AF30" s="76"/>
    </row>
    <row r="31" spans="1:32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14.631400259692905</v>
      </c>
      <c r="G31" s="53">
        <f>H31*1.0936113</f>
        <v>25751.265281100001</v>
      </c>
      <c r="H31" s="104">
        <f>INT(SUM($O23:$O29))</f>
        <v>23547</v>
      </c>
      <c r="I31" s="120"/>
      <c r="J31" s="503"/>
      <c r="K31" s="504"/>
      <c r="L31" s="504"/>
      <c r="M31" s="271"/>
      <c r="N31" s="506"/>
      <c r="O31" s="171" t="str">
        <f t="shared" si="3"/>
        <v/>
      </c>
      <c r="P31" s="172"/>
      <c r="Q31" s="128">
        <f t="shared" si="4"/>
        <v>0</v>
      </c>
      <c r="R31" s="189"/>
      <c r="S31" s="195" t="str">
        <f t="shared" si="12"/>
        <v/>
      </c>
      <c r="T31" s="189"/>
      <c r="U31" s="189"/>
      <c r="V31" s="189"/>
      <c r="W31" s="189"/>
      <c r="X31" s="95"/>
      <c r="Y31" s="95"/>
      <c r="Z31" s="95"/>
      <c r="AA31" s="186">
        <f t="shared" si="8"/>
        <v>0</v>
      </c>
      <c r="AB31" s="173">
        <f t="shared" si="13"/>
        <v>0</v>
      </c>
      <c r="AC31" s="79"/>
      <c r="AD31" s="76"/>
      <c r="AE31" s="76"/>
      <c r="AF31" s="76"/>
    </row>
    <row r="32" spans="1:32" ht="17" thickTop="1">
      <c r="A32" s="1"/>
      <c r="B32" s="47">
        <f t="shared" ref="B32:B38" si="32">IF(B$2&gt;C32,0,C32)</f>
        <v>45551</v>
      </c>
      <c r="C32" s="31">
        <f>C29+1</f>
        <v>45551</v>
      </c>
      <c r="D32" s="18">
        <f t="shared" ca="1" si="1"/>
        <v>-260</v>
      </c>
      <c r="E32" s="94" t="s">
        <v>1</v>
      </c>
      <c r="F32" s="45"/>
      <c r="G32" s="46"/>
      <c r="H32" s="46"/>
      <c r="I32" s="151"/>
      <c r="J32" s="46"/>
      <c r="K32" s="152" t="str">
        <f t="shared" ref="K32:K38" si="33">IF(R32=0,"",IF(L32="","",J32))</f>
        <v/>
      </c>
      <c r="L32" s="121"/>
      <c r="M32" s="46" t="str">
        <f>IF(R32=0,"",IF(J32="","",L32))</f>
        <v/>
      </c>
      <c r="N32" s="301"/>
      <c r="O32" s="171">
        <f t="shared" si="3"/>
        <v>3363.892782848694</v>
      </c>
      <c r="P32" s="172">
        <f t="shared" ref="P32:P38" si="34">H$56</f>
        <v>100914.78556569738</v>
      </c>
      <c r="Q32" s="128">
        <f t="shared" si="4"/>
        <v>100914.78556569738</v>
      </c>
      <c r="R32" s="128">
        <f>IF(R$2=3,H32+G32/1.0936133+F32/0.0006213712,IF(R$2=2,H32*1.0936133+G32+F32/0.0005681818,IF(R$2=1,H32*0.0005681818*1.0936133+G32*0.0005681818+F32,"")))</f>
        <v>0</v>
      </c>
      <c r="S32" s="195" t="str">
        <f t="shared" si="12"/>
        <v/>
      </c>
      <c r="T32" s="128"/>
      <c r="U32" s="128"/>
      <c r="V32" s="129" t="str">
        <f t="shared" ref="V32:V38" si="35">IF(L32="","",IF(R32=0,"",IF(B32=0,"",IF($R$2=3,R32/L32*60/1000,IF($R$2=2,R32/L32*60/1760,IF($R$2=1,R32/L32*60,""))))))</f>
        <v/>
      </c>
      <c r="W32" s="129" t="str">
        <f t="shared" ref="W32:W38" si="36">IF(R32=0,"",IF(L32="","",V32*L32))</f>
        <v/>
      </c>
      <c r="X32" s="171">
        <f>F32+X29</f>
        <v>0</v>
      </c>
      <c r="Y32" s="171">
        <f>G32+Y29</f>
        <v>0</v>
      </c>
      <c r="Z32" s="171">
        <f>H32+Z29</f>
        <v>0</v>
      </c>
      <c r="AA32" s="186">
        <f t="shared" si="8"/>
        <v>0</v>
      </c>
      <c r="AB32" s="173">
        <f t="shared" si="13"/>
        <v>0</v>
      </c>
      <c r="AC32" s="79"/>
      <c r="AD32" s="76"/>
      <c r="AE32" s="76"/>
      <c r="AF32" s="76"/>
    </row>
    <row r="33" spans="1:32">
      <c r="A33" s="1"/>
      <c r="B33" s="4">
        <f t="shared" si="32"/>
        <v>45552</v>
      </c>
      <c r="C33" s="29">
        <f t="shared" ref="C33:C38" si="37">C32+1</f>
        <v>45552</v>
      </c>
      <c r="D33" s="6">
        <f t="shared" ca="1" si="1"/>
        <v>-261</v>
      </c>
      <c r="E33" s="90" t="s">
        <v>2</v>
      </c>
      <c r="F33" s="45"/>
      <c r="G33" s="46"/>
      <c r="H33" s="46"/>
      <c r="I33" s="151"/>
      <c r="J33" s="46"/>
      <c r="K33" s="152" t="str">
        <f t="shared" si="33"/>
        <v/>
      </c>
      <c r="L33" s="46"/>
      <c r="M33" s="46" t="str">
        <f t="shared" ref="M33:M38" si="38">IF(R33=0,"",IF(J33="","",L33))</f>
        <v/>
      </c>
      <c r="N33" s="301"/>
      <c r="O33" s="171">
        <f t="shared" si="3"/>
        <v>3363.892782848694</v>
      </c>
      <c r="P33" s="172">
        <f t="shared" si="34"/>
        <v>100914.78556569738</v>
      </c>
      <c r="Q33" s="128">
        <f t="shared" si="4"/>
        <v>100914.78556569738</v>
      </c>
      <c r="R33" s="128">
        <f t="shared" ref="R33:R38" si="39">IF(R$2=3,H33+G33/1.0936133+F33/0.0006213712,IF(R$2=2,H33*1.0936133+G33+F33/0.0005681818,IF(R$2=1,H33*0.0005681818*1.0936133+G33*0.0005681818+F33,"")))</f>
        <v>0</v>
      </c>
      <c r="S33" s="195" t="str">
        <f t="shared" si="12"/>
        <v/>
      </c>
      <c r="T33" s="128"/>
      <c r="U33" s="128"/>
      <c r="V33" s="129" t="str">
        <f t="shared" si="35"/>
        <v/>
      </c>
      <c r="W33" s="129" t="str">
        <f t="shared" si="36"/>
        <v/>
      </c>
      <c r="X33" s="171">
        <f t="shared" ref="X33:Z38" si="40">F33+X32</f>
        <v>0</v>
      </c>
      <c r="Y33" s="171">
        <f t="shared" si="40"/>
        <v>0</v>
      </c>
      <c r="Z33" s="171">
        <f t="shared" si="40"/>
        <v>0</v>
      </c>
      <c r="AA33" s="186">
        <f t="shared" si="8"/>
        <v>0</v>
      </c>
      <c r="AB33" s="173">
        <f t="shared" si="13"/>
        <v>0</v>
      </c>
      <c r="AC33" s="79"/>
      <c r="AD33" s="76"/>
      <c r="AE33" s="76"/>
      <c r="AF33" s="76"/>
    </row>
    <row r="34" spans="1:32">
      <c r="A34" s="1"/>
      <c r="B34" s="4">
        <f t="shared" si="32"/>
        <v>45553</v>
      </c>
      <c r="C34" s="29">
        <f t="shared" si="37"/>
        <v>45553</v>
      </c>
      <c r="D34" s="6">
        <f t="shared" ca="1" si="1"/>
        <v>-262</v>
      </c>
      <c r="E34" s="90" t="s">
        <v>3</v>
      </c>
      <c r="F34" s="45"/>
      <c r="G34" s="46"/>
      <c r="H34" s="46"/>
      <c r="I34" s="151"/>
      <c r="J34" s="46"/>
      <c r="K34" s="152" t="str">
        <f t="shared" si="33"/>
        <v/>
      </c>
      <c r="L34" s="46"/>
      <c r="M34" s="46" t="str">
        <f t="shared" si="38"/>
        <v/>
      </c>
      <c r="N34" s="301"/>
      <c r="O34" s="171">
        <f t="shared" si="3"/>
        <v>3363.892782848694</v>
      </c>
      <c r="P34" s="172">
        <f t="shared" si="34"/>
        <v>100914.78556569738</v>
      </c>
      <c r="Q34" s="128">
        <f t="shared" si="4"/>
        <v>100914.78556569738</v>
      </c>
      <c r="R34" s="128">
        <f t="shared" si="39"/>
        <v>0</v>
      </c>
      <c r="S34" s="195" t="str">
        <f t="shared" si="12"/>
        <v/>
      </c>
      <c r="T34" s="128"/>
      <c r="U34" s="128"/>
      <c r="V34" s="129" t="str">
        <f t="shared" si="35"/>
        <v/>
      </c>
      <c r="W34" s="129" t="str">
        <f t="shared" si="36"/>
        <v/>
      </c>
      <c r="X34" s="171">
        <f t="shared" si="40"/>
        <v>0</v>
      </c>
      <c r="Y34" s="171">
        <f t="shared" si="40"/>
        <v>0</v>
      </c>
      <c r="Z34" s="171">
        <f t="shared" si="40"/>
        <v>0</v>
      </c>
      <c r="AA34" s="186">
        <f t="shared" si="8"/>
        <v>0</v>
      </c>
      <c r="AB34" s="173">
        <f t="shared" si="13"/>
        <v>0</v>
      </c>
      <c r="AC34" s="79"/>
      <c r="AD34" s="76"/>
      <c r="AE34" s="76"/>
      <c r="AF34" s="76"/>
    </row>
    <row r="35" spans="1:32">
      <c r="A35" s="1"/>
      <c r="B35" s="4">
        <f t="shared" si="32"/>
        <v>45554</v>
      </c>
      <c r="C35" s="29">
        <f t="shared" si="37"/>
        <v>45554</v>
      </c>
      <c r="D35" s="6">
        <f t="shared" ca="1" si="1"/>
        <v>-263</v>
      </c>
      <c r="E35" s="90" t="s">
        <v>4</v>
      </c>
      <c r="F35" s="45"/>
      <c r="G35" s="46"/>
      <c r="H35" s="46"/>
      <c r="I35" s="151"/>
      <c r="J35" s="46"/>
      <c r="K35" s="152" t="str">
        <f t="shared" si="33"/>
        <v/>
      </c>
      <c r="L35" s="46"/>
      <c r="M35" s="46" t="str">
        <f t="shared" si="38"/>
        <v/>
      </c>
      <c r="N35" s="310"/>
      <c r="O35" s="171">
        <f t="shared" si="3"/>
        <v>3363.892782848694</v>
      </c>
      <c r="P35" s="172">
        <f t="shared" si="34"/>
        <v>100914.78556569738</v>
      </c>
      <c r="Q35" s="128">
        <f t="shared" si="4"/>
        <v>100914.78556569738</v>
      </c>
      <c r="R35" s="128">
        <f t="shared" si="39"/>
        <v>0</v>
      </c>
      <c r="S35" s="195" t="str">
        <f t="shared" si="12"/>
        <v/>
      </c>
      <c r="T35" s="128"/>
      <c r="U35" s="128"/>
      <c r="V35" s="129" t="str">
        <f t="shared" si="35"/>
        <v/>
      </c>
      <c r="W35" s="129" t="str">
        <f t="shared" si="36"/>
        <v/>
      </c>
      <c r="X35" s="171">
        <f t="shared" si="40"/>
        <v>0</v>
      </c>
      <c r="Y35" s="171">
        <f t="shared" si="40"/>
        <v>0</v>
      </c>
      <c r="Z35" s="171">
        <f t="shared" si="40"/>
        <v>0</v>
      </c>
      <c r="AA35" s="186">
        <f t="shared" si="8"/>
        <v>0</v>
      </c>
      <c r="AB35" s="173">
        <f t="shared" si="13"/>
        <v>0</v>
      </c>
      <c r="AC35" s="79"/>
      <c r="AD35" s="76"/>
      <c r="AE35" s="76"/>
      <c r="AF35" s="76"/>
    </row>
    <row r="36" spans="1:32">
      <c r="A36" s="1"/>
      <c r="B36" s="4">
        <f t="shared" si="32"/>
        <v>45555</v>
      </c>
      <c r="C36" s="29">
        <f t="shared" si="37"/>
        <v>45555</v>
      </c>
      <c r="D36" s="6">
        <f t="shared" ca="1" si="1"/>
        <v>-264</v>
      </c>
      <c r="E36" s="90" t="s">
        <v>5</v>
      </c>
      <c r="F36" s="45"/>
      <c r="G36" s="46"/>
      <c r="H36" s="46"/>
      <c r="I36" s="151"/>
      <c r="J36" s="46"/>
      <c r="K36" s="152" t="str">
        <f t="shared" si="33"/>
        <v/>
      </c>
      <c r="L36" s="46"/>
      <c r="M36" s="46" t="str">
        <f t="shared" si="38"/>
        <v/>
      </c>
      <c r="N36" s="301"/>
      <c r="O36" s="171">
        <f t="shared" si="3"/>
        <v>3363.892782848694</v>
      </c>
      <c r="P36" s="172">
        <f t="shared" si="34"/>
        <v>100914.78556569738</v>
      </c>
      <c r="Q36" s="128">
        <f t="shared" si="4"/>
        <v>100914.78556569738</v>
      </c>
      <c r="R36" s="128">
        <f t="shared" si="39"/>
        <v>0</v>
      </c>
      <c r="S36" s="195" t="str">
        <f t="shared" si="12"/>
        <v/>
      </c>
      <c r="T36" s="128"/>
      <c r="U36" s="128"/>
      <c r="V36" s="129" t="str">
        <f t="shared" si="35"/>
        <v/>
      </c>
      <c r="W36" s="129" t="str">
        <f t="shared" si="36"/>
        <v/>
      </c>
      <c r="X36" s="171">
        <f t="shared" si="40"/>
        <v>0</v>
      </c>
      <c r="Y36" s="171">
        <f t="shared" si="40"/>
        <v>0</v>
      </c>
      <c r="Z36" s="171">
        <f t="shared" si="40"/>
        <v>0</v>
      </c>
      <c r="AA36" s="186">
        <f t="shared" si="8"/>
        <v>0</v>
      </c>
      <c r="AB36" s="173">
        <f t="shared" si="13"/>
        <v>0</v>
      </c>
      <c r="AC36" s="79"/>
      <c r="AD36" s="76"/>
      <c r="AE36" s="76"/>
      <c r="AF36" s="76"/>
    </row>
    <row r="37" spans="1:32">
      <c r="A37" s="1"/>
      <c r="B37" s="4">
        <f t="shared" si="32"/>
        <v>45556</v>
      </c>
      <c r="C37" s="29">
        <f t="shared" si="37"/>
        <v>45556</v>
      </c>
      <c r="D37" s="6">
        <f t="shared" ca="1" si="1"/>
        <v>-265</v>
      </c>
      <c r="E37" s="90" t="s">
        <v>6</v>
      </c>
      <c r="F37" s="45"/>
      <c r="G37" s="46"/>
      <c r="H37" s="46"/>
      <c r="I37" s="151"/>
      <c r="J37" s="46"/>
      <c r="K37" s="152" t="str">
        <f t="shared" si="33"/>
        <v/>
      </c>
      <c r="L37" s="46"/>
      <c r="M37" s="46" t="str">
        <f t="shared" si="38"/>
        <v/>
      </c>
      <c r="N37" s="310"/>
      <c r="O37" s="171">
        <f t="shared" si="3"/>
        <v>3363.892782848694</v>
      </c>
      <c r="P37" s="172">
        <f t="shared" si="34"/>
        <v>100914.78556569738</v>
      </c>
      <c r="Q37" s="128">
        <f t="shared" si="4"/>
        <v>100914.78556569738</v>
      </c>
      <c r="R37" s="128">
        <f t="shared" si="39"/>
        <v>0</v>
      </c>
      <c r="S37" s="195" t="str">
        <f t="shared" si="12"/>
        <v/>
      </c>
      <c r="T37" s="128"/>
      <c r="U37" s="128"/>
      <c r="V37" s="129" t="str">
        <f t="shared" si="35"/>
        <v/>
      </c>
      <c r="W37" s="129" t="str">
        <f t="shared" si="36"/>
        <v/>
      </c>
      <c r="X37" s="171">
        <f t="shared" si="40"/>
        <v>0</v>
      </c>
      <c r="Y37" s="171">
        <f t="shared" si="40"/>
        <v>0</v>
      </c>
      <c r="Z37" s="171">
        <f t="shared" si="40"/>
        <v>0</v>
      </c>
      <c r="AA37" s="186">
        <f t="shared" si="8"/>
        <v>0</v>
      </c>
      <c r="AB37" s="173">
        <f t="shared" si="13"/>
        <v>0</v>
      </c>
      <c r="AC37" s="79"/>
      <c r="AD37" s="76"/>
      <c r="AE37" s="76"/>
      <c r="AF37" s="76"/>
    </row>
    <row r="38" spans="1:32" ht="17" thickBot="1">
      <c r="A38" s="1"/>
      <c r="B38" s="43">
        <f t="shared" si="32"/>
        <v>45557</v>
      </c>
      <c r="C38" s="32">
        <f t="shared" si="37"/>
        <v>45557</v>
      </c>
      <c r="D38" s="44">
        <f t="shared" ca="1" si="1"/>
        <v>-266</v>
      </c>
      <c r="E38" s="93" t="s">
        <v>7</v>
      </c>
      <c r="F38" s="45"/>
      <c r="G38" s="46"/>
      <c r="H38" s="46"/>
      <c r="I38" s="151"/>
      <c r="J38" s="46"/>
      <c r="K38" s="152" t="str">
        <f t="shared" si="33"/>
        <v/>
      </c>
      <c r="L38" s="46"/>
      <c r="M38" s="46" t="str">
        <f t="shared" si="38"/>
        <v/>
      </c>
      <c r="N38" s="303"/>
      <c r="O38" s="171">
        <f t="shared" si="3"/>
        <v>3363.892782848694</v>
      </c>
      <c r="P38" s="172">
        <f t="shared" si="34"/>
        <v>100914.78556569738</v>
      </c>
      <c r="Q38" s="128">
        <f t="shared" si="4"/>
        <v>100914.78556569738</v>
      </c>
      <c r="R38" s="128">
        <f t="shared" si="39"/>
        <v>0</v>
      </c>
      <c r="S38" s="195" t="str">
        <f t="shared" si="12"/>
        <v/>
      </c>
      <c r="T38" s="128"/>
      <c r="U38" s="128"/>
      <c r="V38" s="129" t="str">
        <f t="shared" si="35"/>
        <v/>
      </c>
      <c r="W38" s="129" t="str">
        <f t="shared" si="36"/>
        <v/>
      </c>
      <c r="X38" s="171">
        <f t="shared" si="40"/>
        <v>0</v>
      </c>
      <c r="Y38" s="171">
        <f t="shared" si="40"/>
        <v>0</v>
      </c>
      <c r="Z38" s="171">
        <f t="shared" si="40"/>
        <v>0</v>
      </c>
      <c r="AA38" s="186">
        <f t="shared" si="8"/>
        <v>0</v>
      </c>
      <c r="AB38" s="173">
        <f t="shared" si="13"/>
        <v>0</v>
      </c>
      <c r="AC38" s="79"/>
      <c r="AD38" s="76"/>
      <c r="AE38" s="76"/>
      <c r="AF38" s="76"/>
    </row>
    <row r="39" spans="1:32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71" t="str">
        <f t="shared" si="3"/>
        <v/>
      </c>
      <c r="P39" s="172"/>
      <c r="Q39" s="128">
        <f t="shared" si="4"/>
        <v>0</v>
      </c>
      <c r="R39" s="188"/>
      <c r="S39" s="195" t="str">
        <f t="shared" si="12"/>
        <v/>
      </c>
      <c r="T39" s="188"/>
      <c r="U39" s="188"/>
      <c r="V39" s="188"/>
      <c r="W39" s="188"/>
      <c r="X39" s="95"/>
      <c r="Y39" s="95"/>
      <c r="Z39" s="95"/>
      <c r="AA39" s="186">
        <f t="shared" si="8"/>
        <v>0</v>
      </c>
      <c r="AB39" s="173">
        <f t="shared" si="13"/>
        <v>0</v>
      </c>
      <c r="AC39" s="79"/>
      <c r="AD39" s="76"/>
      <c r="AE39" s="76"/>
      <c r="AF39" s="76"/>
    </row>
    <row r="40" spans="1:32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14.631400259692905</v>
      </c>
      <c r="G40" s="53">
        <f>H40*1.0936113</f>
        <v>25751.265281100001</v>
      </c>
      <c r="H40" s="5">
        <f>INT(SUM($O32:$O38))</f>
        <v>23547</v>
      </c>
      <c r="I40" s="120"/>
      <c r="J40" s="123"/>
      <c r="K40" s="124"/>
      <c r="L40" s="159">
        <f>COUNT(S5:S51)-COUNT(V5:V51)</f>
        <v>0</v>
      </c>
      <c r="M40" s="124"/>
      <c r="N40" s="124"/>
      <c r="O40" s="171" t="str">
        <f t="shared" si="3"/>
        <v/>
      </c>
      <c r="P40" s="172"/>
      <c r="Q40" s="128">
        <f t="shared" si="4"/>
        <v>0</v>
      </c>
      <c r="R40" s="189"/>
      <c r="S40" s="195" t="str">
        <f t="shared" si="12"/>
        <v/>
      </c>
      <c r="T40" s="189"/>
      <c r="U40" s="189"/>
      <c r="V40" s="189"/>
      <c r="W40" s="189"/>
      <c r="X40" s="95"/>
      <c r="Y40" s="95"/>
      <c r="Z40" s="95"/>
      <c r="AA40" s="186">
        <f t="shared" si="8"/>
        <v>0</v>
      </c>
      <c r="AB40" s="173">
        <f t="shared" si="13"/>
        <v>0</v>
      </c>
      <c r="AC40" s="79"/>
      <c r="AD40" s="76"/>
      <c r="AE40" s="76"/>
      <c r="AF40" s="76"/>
    </row>
    <row r="41" spans="1:32" ht="17" thickTop="1">
      <c r="A41" s="1"/>
      <c r="B41" s="47">
        <f t="shared" ref="B41:B47" si="41">IF(B$3&lt;C41,0,C41)</f>
        <v>45558</v>
      </c>
      <c r="C41" s="31">
        <f>C38+1</f>
        <v>45558</v>
      </c>
      <c r="D41" s="18">
        <f t="shared" ca="1" si="1"/>
        <v>-267</v>
      </c>
      <c r="E41" s="94" t="str">
        <f>IF(B41=0,"","Monday")</f>
        <v>Monday</v>
      </c>
      <c r="F41" s="45"/>
      <c r="G41" s="46"/>
      <c r="H41" s="46"/>
      <c r="I41" s="151"/>
      <c r="J41" s="101"/>
      <c r="K41" s="152" t="str">
        <f t="shared" ref="K41:K47" si="42">IF(R41=0,"",IF(L41="","",J41))</f>
        <v/>
      </c>
      <c r="L41" s="101"/>
      <c r="M41" s="46" t="str">
        <f>IF(R41=0,"",IF(J41="","",L41))</f>
        <v/>
      </c>
      <c r="N41" s="301"/>
      <c r="O41" s="171">
        <f t="shared" si="3"/>
        <v>3363.892782848694</v>
      </c>
      <c r="P41" s="172">
        <f t="shared" ref="P41:P47" si="43">H$56</f>
        <v>100914.78556569738</v>
      </c>
      <c r="Q41" s="128">
        <f t="shared" si="4"/>
        <v>100914.78556569738</v>
      </c>
      <c r="R41" s="128">
        <f>IF(R$2=3,H41+G41/1.0936133+F41/0.0006213712,IF(R$2=2,H41*1.0936133+G41+F41/0.0005681818,IF(R$2=1,H41*0.0005681818*1.0936133+G41*0.0005681818+F41,"")))</f>
        <v>0</v>
      </c>
      <c r="S41" s="195" t="str">
        <f t="shared" si="12"/>
        <v/>
      </c>
      <c r="T41" s="128"/>
      <c r="U41" s="128"/>
      <c r="V41" s="129" t="str">
        <f t="shared" ref="V41:V47" si="44">IF(L41="","",IF(R41=0,"",IF(B41=0,"",IF($R$2=3,R41/L41*60/1000,IF($R$2=2,R41/L41*60/1760,IF($R$2=1,R41/L41*60,""))))))</f>
        <v/>
      </c>
      <c r="W41" s="129" t="str">
        <f t="shared" ref="W41:W47" si="45">IF(R41=0,"",IF(L41="","",V41*L41))</f>
        <v/>
      </c>
      <c r="X41" s="171">
        <f>F41+X38</f>
        <v>0</v>
      </c>
      <c r="Y41" s="171">
        <f>G41+Y38</f>
        <v>0</v>
      </c>
      <c r="Z41" s="171">
        <f>H41+Z38</f>
        <v>0</v>
      </c>
      <c r="AA41" s="186">
        <f t="shared" si="8"/>
        <v>0</v>
      </c>
      <c r="AB41" s="173">
        <f t="shared" si="13"/>
        <v>0</v>
      </c>
      <c r="AC41" s="79"/>
      <c r="AD41" s="76"/>
      <c r="AE41" s="76"/>
      <c r="AF41" s="76"/>
    </row>
    <row r="42" spans="1:32">
      <c r="A42" s="1"/>
      <c r="B42" s="4">
        <f t="shared" si="41"/>
        <v>45559</v>
      </c>
      <c r="C42" s="29">
        <f t="shared" ref="C42:C47" si="46">C41+1</f>
        <v>45559</v>
      </c>
      <c r="D42" s="6">
        <f t="shared" ca="1" si="1"/>
        <v>-268</v>
      </c>
      <c r="E42" s="90" t="str">
        <f>IF(B42=0,"","Tuesday")</f>
        <v>Tuesday</v>
      </c>
      <c r="F42" s="45"/>
      <c r="G42" s="46"/>
      <c r="H42" s="46"/>
      <c r="I42" s="151"/>
      <c r="J42" s="46"/>
      <c r="K42" s="152" t="str">
        <f t="shared" si="42"/>
        <v/>
      </c>
      <c r="L42" s="46"/>
      <c r="M42" s="46" t="str">
        <f t="shared" ref="M42:M47" si="47">IF(R42=0,"",IF(J42="","",L42))</f>
        <v/>
      </c>
      <c r="N42" s="301"/>
      <c r="O42" s="171">
        <f t="shared" si="3"/>
        <v>3363.892782848694</v>
      </c>
      <c r="P42" s="172">
        <f t="shared" si="43"/>
        <v>100914.78556569738</v>
      </c>
      <c r="Q42" s="128">
        <f t="shared" si="4"/>
        <v>100914.78556569738</v>
      </c>
      <c r="R42" s="128">
        <f t="shared" ref="R42:R47" si="48">IF(R$2=3,H42+G42/1.0936133+F42/0.0006213712,IF(R$2=2,H42*1.0936133+G42+F42/0.0005681818,IF(R$2=1,H42*0.0005681818*1.0936133+G42*0.0005681818+F42,"")))</f>
        <v>0</v>
      </c>
      <c r="S42" s="195" t="str">
        <f t="shared" si="12"/>
        <v/>
      </c>
      <c r="T42" s="128"/>
      <c r="U42" s="128"/>
      <c r="V42" s="129" t="str">
        <f t="shared" si="44"/>
        <v/>
      </c>
      <c r="W42" s="129" t="str">
        <f t="shared" si="45"/>
        <v/>
      </c>
      <c r="X42" s="171">
        <f t="shared" ref="X42:Z47" si="49">F42+X41</f>
        <v>0</v>
      </c>
      <c r="Y42" s="171">
        <f t="shared" si="49"/>
        <v>0</v>
      </c>
      <c r="Z42" s="171">
        <f t="shared" si="49"/>
        <v>0</v>
      </c>
      <c r="AA42" s="186">
        <f t="shared" si="8"/>
        <v>0</v>
      </c>
      <c r="AB42" s="173">
        <f t="shared" si="13"/>
        <v>0</v>
      </c>
      <c r="AC42" s="79"/>
      <c r="AD42" s="76"/>
      <c r="AE42" s="76"/>
      <c r="AF42" s="76"/>
    </row>
    <row r="43" spans="1:32">
      <c r="A43" s="1"/>
      <c r="B43" s="4">
        <f t="shared" si="41"/>
        <v>45560</v>
      </c>
      <c r="C43" s="29">
        <f t="shared" si="46"/>
        <v>45560</v>
      </c>
      <c r="D43" s="6">
        <f t="shared" ca="1" si="1"/>
        <v>-269</v>
      </c>
      <c r="E43" s="90" t="str">
        <f>IF(B43=0,"","Wednesday")</f>
        <v>Wednesday</v>
      </c>
      <c r="F43" s="45"/>
      <c r="G43" s="46"/>
      <c r="H43" s="46"/>
      <c r="I43" s="151"/>
      <c r="J43" s="46"/>
      <c r="K43" s="152" t="str">
        <f t="shared" si="42"/>
        <v/>
      </c>
      <c r="L43" s="46"/>
      <c r="M43" s="46" t="str">
        <f t="shared" si="47"/>
        <v/>
      </c>
      <c r="N43" s="301"/>
      <c r="O43" s="171">
        <f t="shared" si="3"/>
        <v>3363.892782848694</v>
      </c>
      <c r="P43" s="172">
        <f t="shared" si="43"/>
        <v>100914.78556569738</v>
      </c>
      <c r="Q43" s="128">
        <f t="shared" si="4"/>
        <v>100914.78556569738</v>
      </c>
      <c r="R43" s="128">
        <f t="shared" si="48"/>
        <v>0</v>
      </c>
      <c r="S43" s="195" t="str">
        <f t="shared" si="12"/>
        <v/>
      </c>
      <c r="T43" s="128"/>
      <c r="U43" s="128"/>
      <c r="V43" s="129" t="str">
        <f t="shared" si="44"/>
        <v/>
      </c>
      <c r="W43" s="129" t="str">
        <f t="shared" si="45"/>
        <v/>
      </c>
      <c r="X43" s="171">
        <f t="shared" si="49"/>
        <v>0</v>
      </c>
      <c r="Y43" s="171">
        <f t="shared" si="49"/>
        <v>0</v>
      </c>
      <c r="Z43" s="171">
        <f t="shared" si="49"/>
        <v>0</v>
      </c>
      <c r="AA43" s="186">
        <f t="shared" si="8"/>
        <v>0</v>
      </c>
      <c r="AB43" s="173">
        <f t="shared" si="13"/>
        <v>0</v>
      </c>
      <c r="AC43" s="79"/>
      <c r="AD43" s="76"/>
      <c r="AE43" s="76"/>
      <c r="AF43" s="76"/>
    </row>
    <row r="44" spans="1:32">
      <c r="A44" s="1"/>
      <c r="B44" s="4">
        <f t="shared" si="41"/>
        <v>45561</v>
      </c>
      <c r="C44" s="29">
        <f t="shared" si="46"/>
        <v>45561</v>
      </c>
      <c r="D44" s="6">
        <f t="shared" ca="1" si="1"/>
        <v>-270</v>
      </c>
      <c r="E44" s="90" t="str">
        <f>IF(B44=0,"","Thursday")</f>
        <v>Thursday</v>
      </c>
      <c r="F44" s="45"/>
      <c r="G44" s="46"/>
      <c r="H44" s="46"/>
      <c r="I44" s="151"/>
      <c r="J44" s="46"/>
      <c r="K44" s="152" t="str">
        <f t="shared" si="42"/>
        <v/>
      </c>
      <c r="L44" s="46"/>
      <c r="M44" s="46" t="str">
        <f t="shared" si="47"/>
        <v/>
      </c>
      <c r="N44" s="301"/>
      <c r="O44" s="171">
        <f t="shared" si="3"/>
        <v>3363.892782848694</v>
      </c>
      <c r="P44" s="172">
        <f t="shared" si="43"/>
        <v>100914.78556569738</v>
      </c>
      <c r="Q44" s="128">
        <f t="shared" si="4"/>
        <v>100914.78556569738</v>
      </c>
      <c r="R44" s="128">
        <f t="shared" si="48"/>
        <v>0</v>
      </c>
      <c r="S44" s="195" t="str">
        <f t="shared" si="12"/>
        <v/>
      </c>
      <c r="T44" s="128"/>
      <c r="U44" s="128"/>
      <c r="V44" s="129" t="str">
        <f t="shared" si="44"/>
        <v/>
      </c>
      <c r="W44" s="129" t="str">
        <f t="shared" si="45"/>
        <v/>
      </c>
      <c r="X44" s="171">
        <f t="shared" si="49"/>
        <v>0</v>
      </c>
      <c r="Y44" s="171">
        <f t="shared" si="49"/>
        <v>0</v>
      </c>
      <c r="Z44" s="171">
        <f t="shared" si="49"/>
        <v>0</v>
      </c>
      <c r="AA44" s="186">
        <f t="shared" si="8"/>
        <v>0</v>
      </c>
      <c r="AB44" s="173">
        <f t="shared" si="13"/>
        <v>0</v>
      </c>
      <c r="AC44" s="131"/>
      <c r="AD44" s="130"/>
      <c r="AE44" s="76"/>
      <c r="AF44" s="76"/>
    </row>
    <row r="45" spans="1:32">
      <c r="A45" s="1"/>
      <c r="B45" s="4">
        <f t="shared" si="41"/>
        <v>45562</v>
      </c>
      <c r="C45" s="29">
        <f t="shared" si="46"/>
        <v>45562</v>
      </c>
      <c r="D45" s="6">
        <f t="shared" ca="1" si="1"/>
        <v>-271</v>
      </c>
      <c r="E45" s="90" t="str">
        <f>IF(B45=0,"","Friday")</f>
        <v>Friday</v>
      </c>
      <c r="F45" s="45"/>
      <c r="G45" s="46"/>
      <c r="H45" s="46"/>
      <c r="I45" s="151"/>
      <c r="J45" s="46"/>
      <c r="K45" s="152" t="str">
        <f t="shared" si="42"/>
        <v/>
      </c>
      <c r="L45" s="46"/>
      <c r="M45" s="46" t="str">
        <f t="shared" si="47"/>
        <v/>
      </c>
      <c r="N45" s="301"/>
      <c r="O45" s="171">
        <f t="shared" si="3"/>
        <v>3363.892782848694</v>
      </c>
      <c r="P45" s="172">
        <f t="shared" si="43"/>
        <v>100914.78556569738</v>
      </c>
      <c r="Q45" s="128">
        <f t="shared" si="4"/>
        <v>100914.78556569738</v>
      </c>
      <c r="R45" s="128">
        <f t="shared" si="48"/>
        <v>0</v>
      </c>
      <c r="S45" s="195" t="str">
        <f t="shared" si="12"/>
        <v/>
      </c>
      <c r="T45" s="128"/>
      <c r="U45" s="128"/>
      <c r="V45" s="129" t="str">
        <f t="shared" si="44"/>
        <v/>
      </c>
      <c r="W45" s="129" t="str">
        <f t="shared" si="45"/>
        <v/>
      </c>
      <c r="X45" s="171">
        <f t="shared" si="49"/>
        <v>0</v>
      </c>
      <c r="Y45" s="171">
        <f t="shared" si="49"/>
        <v>0</v>
      </c>
      <c r="Z45" s="171">
        <f t="shared" si="49"/>
        <v>0</v>
      </c>
      <c r="AA45" s="186">
        <f t="shared" si="8"/>
        <v>0</v>
      </c>
      <c r="AB45" s="173">
        <f t="shared" si="13"/>
        <v>0</v>
      </c>
      <c r="AC45" s="79"/>
      <c r="AD45" s="76"/>
      <c r="AE45" s="76"/>
      <c r="AF45" s="76"/>
    </row>
    <row r="46" spans="1:32">
      <c r="A46" s="1"/>
      <c r="B46" s="4">
        <f t="shared" si="41"/>
        <v>45563</v>
      </c>
      <c r="C46" s="29">
        <f t="shared" si="46"/>
        <v>45563</v>
      </c>
      <c r="D46" s="6">
        <f t="shared" ca="1" si="1"/>
        <v>-272</v>
      </c>
      <c r="E46" s="90" t="str">
        <f>IF(B46=0,"","Saturday")</f>
        <v>Saturday</v>
      </c>
      <c r="F46" s="45"/>
      <c r="G46" s="46"/>
      <c r="H46" s="46"/>
      <c r="I46" s="151"/>
      <c r="J46" s="46"/>
      <c r="K46" s="152" t="str">
        <f t="shared" si="42"/>
        <v/>
      </c>
      <c r="L46" s="46"/>
      <c r="M46" s="46" t="str">
        <f t="shared" si="47"/>
        <v/>
      </c>
      <c r="N46" s="301"/>
      <c r="O46" s="171">
        <f t="shared" si="3"/>
        <v>3363.892782848694</v>
      </c>
      <c r="P46" s="172">
        <f t="shared" si="43"/>
        <v>100914.78556569738</v>
      </c>
      <c r="Q46" s="128">
        <f t="shared" si="4"/>
        <v>100914.78556569738</v>
      </c>
      <c r="R46" s="128">
        <f t="shared" si="48"/>
        <v>0</v>
      </c>
      <c r="S46" s="195" t="str">
        <f t="shared" si="12"/>
        <v/>
      </c>
      <c r="T46" s="128"/>
      <c r="U46" s="128"/>
      <c r="V46" s="129" t="str">
        <f t="shared" si="44"/>
        <v/>
      </c>
      <c r="W46" s="129" t="str">
        <f t="shared" si="45"/>
        <v/>
      </c>
      <c r="X46" s="171">
        <f t="shared" si="49"/>
        <v>0</v>
      </c>
      <c r="Y46" s="171">
        <f t="shared" si="49"/>
        <v>0</v>
      </c>
      <c r="Z46" s="171">
        <f t="shared" si="49"/>
        <v>0</v>
      </c>
      <c r="AA46" s="186">
        <f t="shared" si="8"/>
        <v>0</v>
      </c>
      <c r="AB46" s="173">
        <f t="shared" si="13"/>
        <v>0</v>
      </c>
      <c r="AC46" s="79"/>
      <c r="AD46" s="76"/>
      <c r="AE46" s="76"/>
      <c r="AF46" s="76"/>
    </row>
    <row r="47" spans="1:32" ht="17" thickBot="1">
      <c r="A47" s="1"/>
      <c r="B47" s="43">
        <f t="shared" si="41"/>
        <v>45564</v>
      </c>
      <c r="C47" s="32">
        <f t="shared" si="46"/>
        <v>45564</v>
      </c>
      <c r="D47" s="44">
        <f t="shared" ca="1" si="1"/>
        <v>-273</v>
      </c>
      <c r="E47" s="93" t="str">
        <f>IF(B47=0,"","Sunday")</f>
        <v>Sunday</v>
      </c>
      <c r="F47" s="45"/>
      <c r="G47" s="46"/>
      <c r="H47" s="46"/>
      <c r="I47" s="151"/>
      <c r="J47" s="46"/>
      <c r="K47" s="152" t="str">
        <f t="shared" si="42"/>
        <v/>
      </c>
      <c r="L47" s="46"/>
      <c r="M47" s="46" t="str">
        <f t="shared" si="47"/>
        <v/>
      </c>
      <c r="N47" s="302"/>
      <c r="O47" s="171">
        <f t="shared" si="3"/>
        <v>3363.892782848694</v>
      </c>
      <c r="P47" s="172">
        <f t="shared" si="43"/>
        <v>100914.78556569738</v>
      </c>
      <c r="Q47" s="128">
        <f t="shared" si="4"/>
        <v>100914.78556569738</v>
      </c>
      <c r="R47" s="128">
        <f t="shared" si="48"/>
        <v>0</v>
      </c>
      <c r="S47" s="195" t="str">
        <f t="shared" si="12"/>
        <v/>
      </c>
      <c r="T47" s="128"/>
      <c r="U47" s="128"/>
      <c r="V47" s="129" t="str">
        <f t="shared" si="44"/>
        <v/>
      </c>
      <c r="W47" s="129" t="str">
        <f t="shared" si="45"/>
        <v/>
      </c>
      <c r="X47" s="171">
        <f t="shared" si="49"/>
        <v>0</v>
      </c>
      <c r="Y47" s="171">
        <f t="shared" si="49"/>
        <v>0</v>
      </c>
      <c r="Z47" s="171">
        <f t="shared" si="49"/>
        <v>0</v>
      </c>
      <c r="AA47" s="186">
        <f t="shared" si="8"/>
        <v>0</v>
      </c>
      <c r="AB47" s="173">
        <f t="shared" si="13"/>
        <v>0</v>
      </c>
      <c r="AC47" s="79"/>
      <c r="AD47" s="76"/>
      <c r="AE47" s="76"/>
      <c r="AF47" s="76"/>
    </row>
    <row r="48" spans="1:32" ht="17" customHeight="1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71" t="str">
        <f t="shared" si="3"/>
        <v/>
      </c>
      <c r="P48" s="79"/>
      <c r="Q48" s="128">
        <f t="shared" si="4"/>
        <v>0</v>
      </c>
      <c r="R48" s="188"/>
      <c r="S48" s="195" t="str">
        <f t="shared" si="12"/>
        <v/>
      </c>
      <c r="T48" s="188"/>
      <c r="U48" s="188"/>
      <c r="V48" s="188"/>
      <c r="W48" s="188"/>
      <c r="X48" s="171"/>
      <c r="Y48" s="171" t="str">
        <f>IF(A48=0,"",G48+Y36)</f>
        <v/>
      </c>
      <c r="Z48" s="171" t="str">
        <f>IF(B48=0,"",H48+Z36)</f>
        <v/>
      </c>
      <c r="AA48" s="186"/>
      <c r="AB48" s="173">
        <f t="shared" si="13"/>
        <v>0</v>
      </c>
      <c r="AC48" s="79"/>
      <c r="AD48" s="76"/>
      <c r="AE48" s="76"/>
      <c r="AF48" s="76"/>
    </row>
    <row r="49" spans="1:32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14.631400259692905</v>
      </c>
      <c r="G49" s="53">
        <f>H49*1.0936113</f>
        <v>25751.265281100001</v>
      </c>
      <c r="H49" s="5">
        <f>INT(SUM($O41:$O47))</f>
        <v>23547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71" t="str">
        <f t="shared" si="3"/>
        <v/>
      </c>
      <c r="P49" s="95"/>
      <c r="Q49" s="128">
        <f t="shared" si="4"/>
        <v>0</v>
      </c>
      <c r="R49" s="189"/>
      <c r="S49" s="195" t="str">
        <f t="shared" si="12"/>
        <v/>
      </c>
      <c r="T49" s="189"/>
      <c r="U49" s="189"/>
      <c r="V49" s="189"/>
      <c r="W49" s="189"/>
      <c r="X49" s="171"/>
      <c r="Y49" s="171" t="str">
        <f>IF(A49=0,"",G49+Y37)</f>
        <v/>
      </c>
      <c r="Z49" s="171" t="str">
        <f>IF(B49=0,"",H49+Z37)</f>
        <v/>
      </c>
      <c r="AA49" s="186"/>
      <c r="AB49" s="173">
        <f t="shared" si="13"/>
        <v>0</v>
      </c>
      <c r="AC49" s="95"/>
      <c r="AD49" s="77"/>
      <c r="AE49" s="77"/>
      <c r="AF49" s="76"/>
    </row>
    <row r="50" spans="1:32" ht="17" thickTop="1">
      <c r="A50" s="1"/>
      <c r="B50" s="47">
        <f>IF(B$3&lt;C50,0,C50)</f>
        <v>45565</v>
      </c>
      <c r="C50" s="31">
        <f>C47+1</f>
        <v>45565</v>
      </c>
      <c r="D50" s="18">
        <f t="shared" ca="1" si="1"/>
        <v>-274</v>
      </c>
      <c r="E50" s="94" t="str">
        <f>IF(B50=0,"","Monday")</f>
        <v>Monday</v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71">
        <f t="shared" si="3"/>
        <v>3363.892782848694</v>
      </c>
      <c r="P50" s="172">
        <f>H$56</f>
        <v>100914.78556569738</v>
      </c>
      <c r="Q50" s="128">
        <f t="shared" si="4"/>
        <v>100914.78556569738</v>
      </c>
      <c r="R50" s="128">
        <f>IF(R$2=3,H50+G50/1.0936133+F50/0.0006213712,IF(R$2=2,H50*1.0936133+G50+F50/0.0005681818,IF(R$2=1,H50*0.0005681818*1.0936133+G50*0.0005681818+F50,"")))</f>
        <v>0</v>
      </c>
      <c r="S50" s="195" t="str">
        <f t="shared" si="12"/>
        <v/>
      </c>
      <c r="T50" s="128"/>
      <c r="U50" s="128"/>
      <c r="V50" s="129" t="str">
        <f>IF(L50="","",IF(R50=0,"",IF(B50=0,"",IF($R$2=3,R50/L50*60/1000,IF($R$2=2,R50/L50*60/1760,IF($R$2=1,R50/L50*60,""))))))</f>
        <v/>
      </c>
      <c r="W50" s="129" t="str">
        <f>IF(R50=0,"",IF(L50="","",V50*L50))</f>
        <v/>
      </c>
      <c r="X50" s="171">
        <f>F50+X47</f>
        <v>0</v>
      </c>
      <c r="Y50" s="171">
        <f>G50+Y47</f>
        <v>0</v>
      </c>
      <c r="Z50" s="171">
        <f>H50+Z47</f>
        <v>0</v>
      </c>
      <c r="AA50" s="186">
        <f t="shared" si="8"/>
        <v>0</v>
      </c>
      <c r="AB50" s="173">
        <f t="shared" si="13"/>
        <v>0</v>
      </c>
      <c r="AC50" s="79"/>
      <c r="AD50" s="76"/>
      <c r="AE50" s="76"/>
      <c r="AF50" s="76"/>
    </row>
    <row r="51" spans="1:32" ht="17" thickBot="1">
      <c r="A51" s="1"/>
      <c r="B51" s="4">
        <f>IF(B$3&lt;C51,0,C51)</f>
        <v>0</v>
      </c>
      <c r="C51" s="29">
        <f>C50+1</f>
        <v>45566</v>
      </c>
      <c r="D51" s="6">
        <f t="shared" ca="1" si="1"/>
        <v>-275</v>
      </c>
      <c r="E51" s="90" t="str">
        <f>IF(B51=0,"","Tuesday")</f>
        <v/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71" t="str">
        <f t="shared" si="3"/>
        <v/>
      </c>
      <c r="P51" s="172">
        <f>H$56</f>
        <v>100914.78556569738</v>
      </c>
      <c r="Q51" s="128">
        <f t="shared" si="4"/>
        <v>100914.78556569738</v>
      </c>
      <c r="R51" s="128">
        <f>IF(R$2=3,H51+G51/1.0936133+F51/0.0006213712,IF(R$2=2,H51*1.0936133+G51+F51/0.0005681818,IF(R$2=1,H51*0.0005681818*1.0936133+G51*0.0005681818+F51,"")))</f>
        <v>0</v>
      </c>
      <c r="S51" s="195" t="str">
        <f t="shared" si="12"/>
        <v/>
      </c>
      <c r="T51" s="128"/>
      <c r="U51" s="128"/>
      <c r="V51" s="129" t="str">
        <f>IF(L51="","",IF(R51=0,"",IF(B51=0,"",IF($R$2=3,R51/L51*60/1000,IF($R$2=2,R51/L51*60/1760,IF($R$2=1,R51/L51*60,""))))))</f>
        <v/>
      </c>
      <c r="W51" s="129" t="str">
        <f>IF(R51=0,"",IF(L51="","",V51*L51))</f>
        <v/>
      </c>
      <c r="X51" s="171">
        <f>F51+X50</f>
        <v>0</v>
      </c>
      <c r="Y51" s="171">
        <f>G51+Y50</f>
        <v>0</v>
      </c>
      <c r="Z51" s="171">
        <f>H51+Z50</f>
        <v>0</v>
      </c>
      <c r="AA51" s="186">
        <f t="shared" si="8"/>
        <v>0</v>
      </c>
      <c r="AB51" s="173">
        <f t="shared" si="13"/>
        <v>0</v>
      </c>
      <c r="AC51" s="79"/>
      <c r="AD51" s="76"/>
      <c r="AE51" s="76"/>
      <c r="AF51" s="76"/>
    </row>
    <row r="52" spans="1:32" ht="18" thickTop="1" thickBot="1">
      <c r="A52" s="25"/>
      <c r="B52" s="12"/>
      <c r="C52" s="33"/>
      <c r="D52" s="50"/>
      <c r="E52" s="89" t="s">
        <v>65</v>
      </c>
      <c r="F52" s="49">
        <f ca="1">G52*0.000568181818</f>
        <v>-1.2427401132386871E-58</v>
      </c>
      <c r="G52" s="15">
        <f ca="1">H52*1.0936113</f>
        <v>-2.1872226000000002E-55</v>
      </c>
      <c r="H52" s="102">
        <f ca="1">IF(SUM(B50:B51)=0,-1E-55,IF(TODAY()&gt;=B50,(AA51-AA47)*1000,-2E-55))</f>
        <v>-2E-55</v>
      </c>
      <c r="I52" s="250"/>
      <c r="J52" s="495" t="s">
        <v>93</v>
      </c>
      <c r="K52" s="496"/>
      <c r="L52" s="496"/>
      <c r="M52" s="253"/>
      <c r="N52" s="254" t="str">
        <f>IF(R$2=1,"Distance (miles)",IF(R$2=2,"Distance (yds)",IF(R$2=3,"Distance (km)","????")))</f>
        <v>Distance (km)</v>
      </c>
      <c r="O52" s="171"/>
      <c r="P52" s="95" t="s">
        <v>1</v>
      </c>
      <c r="Q52" s="95" t="s">
        <v>2</v>
      </c>
      <c r="R52" s="95" t="s">
        <v>3</v>
      </c>
      <c r="S52" s="95" t="s">
        <v>4</v>
      </c>
      <c r="T52" s="95" t="s">
        <v>5</v>
      </c>
      <c r="U52" s="95" t="s">
        <v>6</v>
      </c>
      <c r="V52" s="95" t="s">
        <v>7</v>
      </c>
      <c r="W52" s="171"/>
      <c r="X52" s="171"/>
      <c r="Y52" s="171"/>
      <c r="Z52" s="186"/>
      <c r="AA52" s="173"/>
      <c r="AB52" s="79"/>
      <c r="AC52" s="79"/>
      <c r="AD52" s="76"/>
      <c r="AE52" s="76"/>
      <c r="AF52" s="76"/>
    </row>
    <row r="53" spans="1:32" ht="17" thickBot="1">
      <c r="A53" s="24"/>
      <c r="B53" s="13"/>
      <c r="C53" s="30"/>
      <c r="D53" s="51"/>
      <c r="E53" s="92" t="s">
        <v>27</v>
      </c>
      <c r="F53" s="52">
        <f>G53*0.0005681818</f>
        <v>2.090222182721853</v>
      </c>
      <c r="G53" s="53">
        <f>H53*1.0936113</f>
        <v>3678.7911593117783</v>
      </c>
      <c r="H53" s="104">
        <f>IF(SUM($O50:$O51)=0,-1E-55,SUM($O50:$O51))</f>
        <v>3363.892782848694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190" t="s">
        <v>48</v>
      </c>
      <c r="P53" s="95">
        <f t="shared" ref="P53:V53" si="50">COUNTIFS($E$5:$E$51,P52)</f>
        <v>5</v>
      </c>
      <c r="Q53" s="95">
        <f t="shared" si="50"/>
        <v>4</v>
      </c>
      <c r="R53" s="95">
        <f t="shared" si="50"/>
        <v>4</v>
      </c>
      <c r="S53" s="95">
        <f t="shared" si="50"/>
        <v>4</v>
      </c>
      <c r="T53" s="95">
        <f t="shared" si="50"/>
        <v>4</v>
      </c>
      <c r="U53" s="95">
        <f t="shared" si="50"/>
        <v>4</v>
      </c>
      <c r="V53" s="95">
        <f t="shared" si="50"/>
        <v>5</v>
      </c>
      <c r="W53" s="171"/>
      <c r="X53" s="171"/>
      <c r="Y53" s="171"/>
      <c r="Z53" s="186"/>
      <c r="AA53" s="173"/>
      <c r="AB53" s="79"/>
      <c r="AC53" s="131"/>
      <c r="AD53" s="130"/>
      <c r="AE53" s="76"/>
      <c r="AF53" s="76"/>
    </row>
    <row r="54" spans="1:32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1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190" t="s">
        <v>47</v>
      </c>
      <c r="P54" s="95">
        <f t="shared" ref="P54:V54" ca="1" si="52">COUNTIFS($D$5:$D$51,"&gt;-1",$E$5:$E$51,P52)</f>
        <v>0</v>
      </c>
      <c r="Q54" s="95">
        <f t="shared" ca="1" si="52"/>
        <v>0</v>
      </c>
      <c r="R54" s="95">
        <f t="shared" ca="1" si="52"/>
        <v>0</v>
      </c>
      <c r="S54" s="95">
        <f t="shared" ca="1" si="52"/>
        <v>0</v>
      </c>
      <c r="T54" s="95">
        <f t="shared" ca="1" si="52"/>
        <v>0</v>
      </c>
      <c r="U54" s="95">
        <f t="shared" ca="1" si="52"/>
        <v>0</v>
      </c>
      <c r="V54" s="95">
        <f t="shared" ca="1" si="52"/>
        <v>0</v>
      </c>
      <c r="W54" s="171"/>
      <c r="X54" s="171"/>
      <c r="Y54" s="171"/>
      <c r="Z54" s="186"/>
      <c r="AA54" s="173"/>
      <c r="AB54" s="79"/>
      <c r="AC54" s="79"/>
      <c r="AD54" s="76"/>
      <c r="AE54" s="76"/>
      <c r="AF54" s="76"/>
    </row>
    <row r="55" spans="1:32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1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190" t="s">
        <v>66</v>
      </c>
      <c r="P55" s="95">
        <f t="shared" ref="P55:V55" si="53">COUNTIFS($E$5:$E$51,P52,$R$5:$R$51,"&gt;0")</f>
        <v>0</v>
      </c>
      <c r="Q55" s="95">
        <f t="shared" si="53"/>
        <v>0</v>
      </c>
      <c r="R55" s="95">
        <f t="shared" si="53"/>
        <v>0</v>
      </c>
      <c r="S55" s="95">
        <f t="shared" si="53"/>
        <v>0</v>
      </c>
      <c r="T55" s="95">
        <f t="shared" si="53"/>
        <v>0</v>
      </c>
      <c r="U55" s="95">
        <f t="shared" si="53"/>
        <v>0</v>
      </c>
      <c r="V55" s="95">
        <f t="shared" si="53"/>
        <v>0</v>
      </c>
      <c r="W55" s="171"/>
      <c r="X55" s="171"/>
      <c r="Y55" s="171"/>
      <c r="Z55" s="186"/>
      <c r="AA55" s="173"/>
      <c r="AB55" s="79"/>
      <c r="AC55" s="79"/>
      <c r="AD55" s="76"/>
      <c r="AE55" s="76"/>
      <c r="AF55" s="76"/>
    </row>
    <row r="56" spans="1:32" ht="17" thickBot="1">
      <c r="A56" s="27"/>
      <c r="B56" s="35"/>
      <c r="C56" s="35"/>
      <c r="D56" s="35"/>
      <c r="E56" s="17" t="s">
        <v>41</v>
      </c>
      <c r="F56" s="37">
        <f>G56*0.000568181818</f>
        <v>62.705426020686296</v>
      </c>
      <c r="G56" s="38">
        <f>H56*1.0936113</f>
        <v>110361.54983172356</v>
      </c>
      <c r="H56" s="106">
        <f>SUM(H$53,H40,H31,H22,H49,H13)-1</f>
        <v>100914.78556569738</v>
      </c>
      <c r="I56" s="252"/>
      <c r="J56" s="257" t="str">
        <f>'MY STATS'!AI47</f>
        <v/>
      </c>
      <c r="K56" s="126" t="str">
        <f t="shared" si="51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190" t="s">
        <v>106</v>
      </c>
      <c r="P56" s="95"/>
      <c r="Q56" s="95"/>
      <c r="R56" s="95"/>
      <c r="S56" s="95"/>
      <c r="T56" s="95"/>
      <c r="U56" s="95"/>
      <c r="V56" s="95"/>
      <c r="W56" s="171"/>
      <c r="X56" s="171"/>
      <c r="Y56" s="171"/>
      <c r="Z56" s="186"/>
      <c r="AA56" s="173"/>
      <c r="AB56" s="79"/>
      <c r="AC56" s="79"/>
      <c r="AD56" s="76"/>
      <c r="AE56" s="76"/>
      <c r="AF56" s="276"/>
    </row>
    <row r="57" spans="1:32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190" t="s">
        <v>97</v>
      </c>
      <c r="P57" s="172">
        <f t="shared" ref="P57:V57" si="54">SUMIF($E$5:$E$51,P52,$S$5:$S$51)</f>
        <v>0</v>
      </c>
      <c r="Q57" s="172">
        <f t="shared" si="54"/>
        <v>0</v>
      </c>
      <c r="R57" s="172">
        <f t="shared" si="54"/>
        <v>0</v>
      </c>
      <c r="S57" s="172">
        <f t="shared" si="54"/>
        <v>0</v>
      </c>
      <c r="T57" s="172">
        <f t="shared" si="54"/>
        <v>0</v>
      </c>
      <c r="U57" s="172">
        <f t="shared" si="54"/>
        <v>0</v>
      </c>
      <c r="V57" s="172">
        <f t="shared" si="54"/>
        <v>0</v>
      </c>
      <c r="W57" s="79"/>
      <c r="X57" s="79"/>
      <c r="Y57" s="79"/>
      <c r="Z57" s="95"/>
      <c r="AA57" s="79"/>
      <c r="AB57" s="79"/>
      <c r="AC57" s="79"/>
      <c r="AD57" s="76"/>
      <c r="AE57" s="76"/>
      <c r="AF57" s="76"/>
    </row>
    <row r="58" spans="1:32" ht="18" thickTop="1" thickBot="1">
      <c r="A58" s="63">
        <f>A1</f>
        <v>9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190" t="s">
        <v>98</v>
      </c>
      <c r="P58" s="191">
        <f>IF(COUNTIFS($E$5:$E$51,P52,$L$5:$L$51,"&gt;0")=0,0,(SUMIF($E$5:$E$51,P52,$L$5:$L$51)+IF(SUMIF($E$5:$E$51,P52,$R$5:$R$51)=0,-SUMIF($E$5:$E$51,P52,$L$5:$L$51)))/60)</f>
        <v>0</v>
      </c>
      <c r="Q58" s="191">
        <f t="shared" ref="Q58:V58" si="55">IF(COUNTIFS($E$5:$E$51,Q52,$L$5:$L$51,"&gt;0")=0,0,(SUMIF($E$5:$E$51,Q52,$L$5:$L$51)+IF(SUMIF($E$5:$E$51,Q52,$R$5:$R$51)=0,-SUMIF($E$5:$E$51,Q52,$L$5:$L$51)))/60)</f>
        <v>0</v>
      </c>
      <c r="R58" s="191">
        <f t="shared" si="55"/>
        <v>0</v>
      </c>
      <c r="S58" s="191">
        <f t="shared" si="55"/>
        <v>0</v>
      </c>
      <c r="T58" s="191">
        <f t="shared" si="55"/>
        <v>0</v>
      </c>
      <c r="U58" s="191">
        <f t="shared" si="55"/>
        <v>0</v>
      </c>
      <c r="V58" s="191">
        <f t="shared" si="55"/>
        <v>0</v>
      </c>
      <c r="W58" s="79"/>
      <c r="X58" s="79"/>
      <c r="Y58" s="79"/>
      <c r="Z58" s="95"/>
      <c r="AA58" s="79"/>
      <c r="AB58" s="79"/>
      <c r="AC58" s="79"/>
      <c r="AD58" s="76"/>
      <c r="AE58" s="76"/>
      <c r="AF58" s="76"/>
    </row>
    <row r="59" spans="1:32" ht="18" thickTop="1" thickBot="1">
      <c r="A59" s="66">
        <f>A1</f>
        <v>9</v>
      </c>
      <c r="B59" s="67"/>
      <c r="C59" s="68"/>
      <c r="D59" s="59"/>
      <c r="E59" s="60" t="s">
        <v>52</v>
      </c>
      <c r="F59" s="61">
        <f>G59*0.000568181818</f>
        <v>190.90129022334483</v>
      </c>
      <c r="G59" s="62">
        <f>H59*1.0936113</f>
        <v>335986.27090060245</v>
      </c>
      <c r="H59" s="107">
        <f>VLOOKUP($A$1,'MY STATS'!B$32:K$43,10)</f>
        <v>307226.40750018077</v>
      </c>
      <c r="I59" s="251"/>
      <c r="J59" s="261" t="s">
        <v>57</v>
      </c>
      <c r="K59" s="262" t="str">
        <f t="shared" si="51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190" t="s">
        <v>88</v>
      </c>
      <c r="P59" s="167">
        <f>IFERROR(IF('MY STATS'!$A16=1,P57/P58,IF('MY STATS'!$A16=2,P57/1760/P58,IF('MY STATS'!$A16=3,P57/1000/P58,0))),0)</f>
        <v>0</v>
      </c>
      <c r="Q59" s="167">
        <f>IFERROR(IF('MY STATS'!$A16=1,Q57/Q58,IF('MY STATS'!$A16=2,Q57/1760/Q58,IF('MY STATS'!$A16=3,Q57/1000/Q58,0))),0)</f>
        <v>0</v>
      </c>
      <c r="R59" s="167">
        <f>IFERROR(IF('MY STATS'!$A16=1,R57/R58,IF('MY STATS'!$A16=2,R57/1760/R58,IF('MY STATS'!$A16=3,R57/1000/R58,0))),0)</f>
        <v>0</v>
      </c>
      <c r="S59" s="167">
        <f>IFERROR(IF('MY STATS'!$A16=1,S57/S58,IF('MY STATS'!$A16=2,S57/1760/S58,IF('MY STATS'!$A16=3,S57/1000/S58,0))),0)</f>
        <v>0</v>
      </c>
      <c r="T59" s="167">
        <f>IFERROR(IF('MY STATS'!$A16=1,T57/T58,IF('MY STATS'!$A16=2,T57/1760/T58,IF('MY STATS'!$A16=3,T57/1000/T58,0))),0)</f>
        <v>0</v>
      </c>
      <c r="U59" s="167">
        <f>IFERROR(IF('MY STATS'!$A16=1,U57/U58,IF('MY STATS'!$A16=2,U57/1760/U58,IF('MY STATS'!$A16=3,U57/1000/U58,0))),0)</f>
        <v>0</v>
      </c>
      <c r="V59" s="167">
        <f>IFERROR(IF('MY STATS'!$A16=1,V57/V58,IF('MY STATS'!$A16=2,V57/1760/V58,IF('MY STATS'!$A16=3,V57/1000/V58,0))),0)</f>
        <v>0</v>
      </c>
      <c r="W59" s="79"/>
      <c r="X59" s="79"/>
      <c r="Y59" s="79"/>
      <c r="Z59" s="95"/>
      <c r="AA59" s="79"/>
      <c r="AB59" s="79"/>
      <c r="AC59" s="79"/>
      <c r="AD59" s="76"/>
      <c r="AE59" s="76"/>
      <c r="AF59" s="76"/>
    </row>
    <row r="60" spans="1:32" ht="17" thickTop="1"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7"/>
      <c r="AB60" s="76"/>
      <c r="AC60" s="76"/>
      <c r="AD60" s="76"/>
      <c r="AE60" s="76"/>
      <c r="AF60" s="76"/>
    </row>
    <row r="61" spans="1:32"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</row>
    <row r="62" spans="1:32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</row>
    <row r="63" spans="1:32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</row>
    <row r="64" spans="1:32"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</row>
    <row r="65" spans="15:29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</row>
    <row r="66" spans="15:29" customFormat="1"/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5144" priority="2923" stopIfTrue="1" operator="notBetween">
      <formula>$B$2</formula>
      <formula>$B$3</formula>
    </cfRule>
  </conditionalFormatting>
  <conditionalFormatting sqref="B14:B20 B23:B29 B49:B51 B40:B47 B53 B31:B38 D3 B5:B11">
    <cfRule type="cellIs" dxfId="5143" priority="2924" operator="greaterThan">
      <formula>$E$3</formula>
    </cfRule>
    <cfRule type="cellIs" dxfId="5142" priority="2925" operator="equal">
      <formula>$E$3</formula>
    </cfRule>
    <cfRule type="cellIs" dxfId="5141" priority="2926" operator="lessThan">
      <formula>$E$3</formula>
    </cfRule>
  </conditionalFormatting>
  <conditionalFormatting sqref="F58:H58 F55:H55">
    <cfRule type="expression" dxfId="5140" priority="2921">
      <formula>$F55&gt;=$F56</formula>
    </cfRule>
  </conditionalFormatting>
  <conditionalFormatting sqref="F5:H10 F14:G20 F23:G29 F38:H38 F41:H47 F11:G11 F32:G37">
    <cfRule type="cellIs" dxfId="5139" priority="2911" stopIfTrue="1" operator="lessThan">
      <formula>0</formula>
    </cfRule>
  </conditionalFormatting>
  <conditionalFormatting sqref="C32:C38 C41:C47 C50:C51 C14:C20 C23:C29 C5:C11">
    <cfRule type="cellIs" dxfId="5138" priority="2916" stopIfTrue="1" operator="notBetween">
      <formula>$B$2</formula>
      <formula>$B$3</formula>
    </cfRule>
  </conditionalFormatting>
  <conditionalFormatting sqref="C41:C47 C50:C51 C32:C38 C14:C20 C23:C29 C5:C11">
    <cfRule type="cellIs" dxfId="5137" priority="2917" operator="greaterThan">
      <formula>$E$3</formula>
    </cfRule>
    <cfRule type="cellIs" dxfId="5136" priority="2918" operator="equal">
      <formula>$E$3</formula>
    </cfRule>
    <cfRule type="cellIs" dxfId="5135" priority="2919" operator="lessThan">
      <formula>$E$3</formula>
    </cfRule>
  </conditionalFormatting>
  <conditionalFormatting sqref="F14:G20 F23:G29 F38:H38 F41:H47 F32:G37">
    <cfRule type="expression" dxfId="5134" priority="2915">
      <formula>$C14&lt;$E$3</formula>
    </cfRule>
  </conditionalFormatting>
  <conditionalFormatting sqref="F5:H10 F14:G20 F23:G29 F38:H38 F41:H47 F11:G11 F32:G37">
    <cfRule type="expression" dxfId="5133" priority="2912">
      <formula>$C5=$E$3</formula>
    </cfRule>
    <cfRule type="expression" dxfId="5132" priority="2913">
      <formula>$C5&lt;$E$3</formula>
    </cfRule>
    <cfRule type="cellIs" dxfId="5131" priority="2914" operator="equal">
      <formula>0</formula>
    </cfRule>
    <cfRule type="expression" dxfId="5130" priority="2920">
      <formula>$C5&gt;$E$3</formula>
    </cfRule>
  </conditionalFormatting>
  <conditionalFormatting sqref="F12:G12">
    <cfRule type="expression" dxfId="5129" priority="2910">
      <formula>$F12&gt;=$F13</formula>
    </cfRule>
  </conditionalFormatting>
  <conditionalFormatting sqref="F21:G21">
    <cfRule type="expression" dxfId="5128" priority="2909">
      <formula>$F21&gt;=$F22</formula>
    </cfRule>
  </conditionalFormatting>
  <conditionalFormatting sqref="F39:H39">
    <cfRule type="expression" dxfId="5127" priority="2908">
      <formula>$F39&gt;=$F40</formula>
    </cfRule>
  </conditionalFormatting>
  <conditionalFormatting sqref="F30:G30">
    <cfRule type="expression" dxfId="5126" priority="2907">
      <formula>$F30&gt;=$F31</formula>
    </cfRule>
  </conditionalFormatting>
  <conditionalFormatting sqref="F48:H48">
    <cfRule type="expression" dxfId="5125" priority="2905" stopIfTrue="1">
      <formula>$H$48=-1E-55</formula>
    </cfRule>
    <cfRule type="expression" dxfId="5124" priority="2906">
      <formula>$F48&gt;=$F49</formula>
    </cfRule>
  </conditionalFormatting>
  <conditionalFormatting sqref="F14:G20 F23:G29 F38:H38 F41:H47 F32:G37">
    <cfRule type="expression" dxfId="5123" priority="2904">
      <formula>$C14&lt;$E$3</formula>
    </cfRule>
  </conditionalFormatting>
  <conditionalFormatting sqref="F14:G20 F5:H10 F23:G29 F38:H38 F41:H47 F11:G11 F32:G37">
    <cfRule type="expression" dxfId="5122" priority="2900">
      <formula>$C5=$E$3</formula>
    </cfRule>
    <cfRule type="expression" dxfId="5121" priority="2901">
      <formula>$C5&lt;$E$3</formula>
    </cfRule>
    <cfRule type="cellIs" dxfId="5120" priority="2902" operator="equal">
      <formula>0</formula>
    </cfRule>
    <cfRule type="expression" dxfId="5119" priority="2903">
      <formula>$C5&gt;$E$3</formula>
    </cfRule>
  </conditionalFormatting>
  <conditionalFormatting sqref="F12:G12">
    <cfRule type="expression" dxfId="5118" priority="2899">
      <formula>$F12&gt;=$F13</formula>
    </cfRule>
  </conditionalFormatting>
  <conditionalFormatting sqref="F21:G21">
    <cfRule type="expression" dxfId="5117" priority="2898">
      <formula>$F21&gt;=$F22</formula>
    </cfRule>
  </conditionalFormatting>
  <conditionalFormatting sqref="F39:H39">
    <cfRule type="expression" dxfId="5116" priority="2897">
      <formula>$F39&gt;=$F40</formula>
    </cfRule>
  </conditionalFormatting>
  <conditionalFormatting sqref="F30:G30">
    <cfRule type="expression" dxfId="5115" priority="2896">
      <formula>$F30&gt;=$F31</formula>
    </cfRule>
  </conditionalFormatting>
  <conditionalFormatting sqref="F48:H48">
    <cfRule type="expression" dxfId="5114" priority="2894" stopIfTrue="1">
      <formula>$E$41=""</formula>
    </cfRule>
    <cfRule type="expression" dxfId="5113" priority="2895">
      <formula>$F48&gt;=$F49</formula>
    </cfRule>
  </conditionalFormatting>
  <conditionalFormatting sqref="F41:H47">
    <cfRule type="expression" dxfId="5112" priority="2893">
      <formula>$E41=""</formula>
    </cfRule>
  </conditionalFormatting>
  <conditionalFormatting sqref="F47:H47">
    <cfRule type="expression" dxfId="5111" priority="2892">
      <formula>$E$46=""</formula>
    </cfRule>
  </conditionalFormatting>
  <conditionalFormatting sqref="F45:H45">
    <cfRule type="expression" dxfId="5110" priority="2891">
      <formula>$E45=""</formula>
    </cfRule>
  </conditionalFormatting>
  <conditionalFormatting sqref="F5:H10 F11:G11">
    <cfRule type="expression" dxfId="5109" priority="2890">
      <formula>$C5&lt;$E$3</formula>
    </cfRule>
  </conditionalFormatting>
  <conditionalFormatting sqref="F5:H10 F11:G11">
    <cfRule type="expression" dxfId="5108" priority="2889">
      <formula>$E5=""</formula>
    </cfRule>
  </conditionalFormatting>
  <conditionalFormatting sqref="F5:H10 F11:G11">
    <cfRule type="expression" dxfId="5107" priority="2885">
      <formula>$C5=$E$3</formula>
    </cfRule>
    <cfRule type="expression" dxfId="5106" priority="2886">
      <formula>$C5&lt;$E$3</formula>
    </cfRule>
    <cfRule type="cellIs" dxfId="5105" priority="2887" operator="equal">
      <formula>0</formula>
    </cfRule>
    <cfRule type="expression" dxfId="5104" priority="2888">
      <formula>$C5&gt;$E$3</formula>
    </cfRule>
  </conditionalFormatting>
  <conditionalFormatting sqref="F5:H10 F11:G11">
    <cfRule type="expression" dxfId="5103" priority="2884">
      <formula>$C5&lt;$E$3</formula>
    </cfRule>
  </conditionalFormatting>
  <conditionalFormatting sqref="F5:H10 F11:G11">
    <cfRule type="expression" dxfId="5102" priority="2883">
      <formula>$E5=""</formula>
    </cfRule>
  </conditionalFormatting>
  <conditionalFormatting sqref="F14:G20">
    <cfRule type="expression" dxfId="5101" priority="2882">
      <formula>$C14&lt;$E$3</formula>
    </cfRule>
  </conditionalFormatting>
  <conditionalFormatting sqref="F14:G20">
    <cfRule type="expression" dxfId="5100" priority="2878">
      <formula>$C14=$E$3</formula>
    </cfRule>
    <cfRule type="expression" dxfId="5099" priority="2879">
      <formula>$C14&lt;$E$3</formula>
    </cfRule>
    <cfRule type="cellIs" dxfId="5098" priority="2880" operator="equal">
      <formula>0</formula>
    </cfRule>
    <cfRule type="expression" dxfId="5097" priority="2881">
      <formula>$C14&gt;$E$3</formula>
    </cfRule>
  </conditionalFormatting>
  <conditionalFormatting sqref="F5:H10 F11:G11">
    <cfRule type="expression" dxfId="5096" priority="2877">
      <formula>$C5&lt;$E$3</formula>
    </cfRule>
  </conditionalFormatting>
  <conditionalFormatting sqref="F5:H10 F11:G11">
    <cfRule type="expression" dxfId="5095" priority="2873">
      <formula>$C5=$E$3</formula>
    </cfRule>
    <cfRule type="expression" dxfId="5094" priority="2874">
      <formula>$C5&lt;$E$3</formula>
    </cfRule>
    <cfRule type="cellIs" dxfId="5093" priority="2875" operator="equal">
      <formula>0</formula>
    </cfRule>
    <cfRule type="expression" dxfId="5092" priority="2876">
      <formula>$C5&gt;$E$3</formula>
    </cfRule>
  </conditionalFormatting>
  <conditionalFormatting sqref="F5:H10 F11:G11">
    <cfRule type="expression" dxfId="5091" priority="2872">
      <formula>$E5=""</formula>
    </cfRule>
  </conditionalFormatting>
  <conditionalFormatting sqref="F5:H10 F11:G11">
    <cfRule type="expression" dxfId="5090" priority="2871">
      <formula>$C5&lt;$E$3</formula>
    </cfRule>
  </conditionalFormatting>
  <conditionalFormatting sqref="F5:H10 F11:G11">
    <cfRule type="expression" dxfId="5089" priority="2870">
      <formula>$E5=""</formula>
    </cfRule>
  </conditionalFormatting>
  <conditionalFormatting sqref="F5:H10 F11:G11">
    <cfRule type="expression" dxfId="5088" priority="2869">
      <formula>$E5=""</formula>
    </cfRule>
  </conditionalFormatting>
  <conditionalFormatting sqref="F5:H10 F11:G11">
    <cfRule type="expression" dxfId="5087" priority="2868">
      <formula>$C5&lt;$E$3</formula>
    </cfRule>
  </conditionalFormatting>
  <conditionalFormatting sqref="F5:H10 F11:G11">
    <cfRule type="expression" dxfId="5086" priority="2867">
      <formula>$E5=""</formula>
    </cfRule>
  </conditionalFormatting>
  <conditionalFormatting sqref="F5:H10 F11:G11">
    <cfRule type="expression" dxfId="5085" priority="2866">
      <formula>$C5&lt;$E$3</formula>
    </cfRule>
  </conditionalFormatting>
  <conditionalFormatting sqref="F5:H10 F11:G11">
    <cfRule type="expression" dxfId="5084" priority="2865">
      <formula>$E5=""</formula>
    </cfRule>
  </conditionalFormatting>
  <conditionalFormatting sqref="F5:H10 F11:G11">
    <cfRule type="expression" dxfId="5083" priority="2864">
      <formula>$C5&lt;$E$3</formula>
    </cfRule>
  </conditionalFormatting>
  <conditionalFormatting sqref="F5:H10 F11:G11">
    <cfRule type="expression" dxfId="5082" priority="2863">
      <formula>$E5=""</formula>
    </cfRule>
  </conditionalFormatting>
  <conditionalFormatting sqref="F14:G20">
    <cfRule type="expression" dxfId="5081" priority="2862">
      <formula>$C14&lt;$E$3</formula>
    </cfRule>
  </conditionalFormatting>
  <conditionalFormatting sqref="F14:G20">
    <cfRule type="expression" dxfId="5080" priority="2858">
      <formula>$C14=$E$3</formula>
    </cfRule>
    <cfRule type="expression" dxfId="5079" priority="2859">
      <formula>$C14&lt;$E$3</formula>
    </cfRule>
    <cfRule type="cellIs" dxfId="5078" priority="2860" operator="equal">
      <formula>0</formula>
    </cfRule>
    <cfRule type="expression" dxfId="5077" priority="2861">
      <formula>$C14&gt;$E$3</formula>
    </cfRule>
  </conditionalFormatting>
  <conditionalFormatting sqref="F14:G20">
    <cfRule type="expression" dxfId="5076" priority="2857">
      <formula>$E14=""</formula>
    </cfRule>
  </conditionalFormatting>
  <conditionalFormatting sqref="F14:G20">
    <cfRule type="expression" dxfId="5075" priority="2856">
      <formula>$C14&lt;$E$3</formula>
    </cfRule>
  </conditionalFormatting>
  <conditionalFormatting sqref="F14:G20">
    <cfRule type="expression" dxfId="5074" priority="2855">
      <formula>$E14=""</formula>
    </cfRule>
  </conditionalFormatting>
  <conditionalFormatting sqref="F14:G20">
    <cfRule type="expression" dxfId="5073" priority="2854">
      <formula>$E14=""</formula>
    </cfRule>
  </conditionalFormatting>
  <conditionalFormatting sqref="F14:G20">
    <cfRule type="expression" dxfId="5072" priority="2853">
      <formula>$C14&lt;$E$3</formula>
    </cfRule>
  </conditionalFormatting>
  <conditionalFormatting sqref="F14:G20">
    <cfRule type="expression" dxfId="5071" priority="2852">
      <formula>$E14=""</formula>
    </cfRule>
  </conditionalFormatting>
  <conditionalFormatting sqref="F14:G20">
    <cfRule type="expression" dxfId="5070" priority="2851">
      <formula>$C14&lt;$E$3</formula>
    </cfRule>
  </conditionalFormatting>
  <conditionalFormatting sqref="F14:G20">
    <cfRule type="expression" dxfId="5069" priority="2850">
      <formula>$E14=""</formula>
    </cfRule>
  </conditionalFormatting>
  <conditionalFormatting sqref="F14:G20">
    <cfRule type="expression" dxfId="5068" priority="2849">
      <formula>$C14&lt;$E$3</formula>
    </cfRule>
  </conditionalFormatting>
  <conditionalFormatting sqref="F14:G20">
    <cfRule type="expression" dxfId="5067" priority="2848">
      <formula>$E14=""</formula>
    </cfRule>
  </conditionalFormatting>
  <conditionalFormatting sqref="F23:G29">
    <cfRule type="expression" dxfId="5066" priority="2847">
      <formula>$C23&lt;$E$3</formula>
    </cfRule>
  </conditionalFormatting>
  <conditionalFormatting sqref="F23:G29">
    <cfRule type="expression" dxfId="5065" priority="2843">
      <formula>$C23=$E$3</formula>
    </cfRule>
    <cfRule type="expression" dxfId="5064" priority="2844">
      <formula>$C23&lt;$E$3</formula>
    </cfRule>
    <cfRule type="cellIs" dxfId="5063" priority="2845" operator="equal">
      <formula>0</formula>
    </cfRule>
    <cfRule type="expression" dxfId="5062" priority="2846">
      <formula>$C23&gt;$E$3</formula>
    </cfRule>
  </conditionalFormatting>
  <conditionalFormatting sqref="F23:G29">
    <cfRule type="expression" dxfId="5061" priority="2842">
      <formula>$C23&lt;$E$3</formula>
    </cfRule>
  </conditionalFormatting>
  <conditionalFormatting sqref="F23:G29">
    <cfRule type="expression" dxfId="5060" priority="2838">
      <formula>$C23=$E$3</formula>
    </cfRule>
    <cfRule type="expression" dxfId="5059" priority="2839">
      <formula>$C23&lt;$E$3</formula>
    </cfRule>
    <cfRule type="cellIs" dxfId="5058" priority="2840" operator="equal">
      <formula>0</formula>
    </cfRule>
    <cfRule type="expression" dxfId="5057" priority="2841">
      <formula>$C23&gt;$E$3</formula>
    </cfRule>
  </conditionalFormatting>
  <conditionalFormatting sqref="F23:G29">
    <cfRule type="expression" dxfId="5056" priority="2837">
      <formula>$E23=""</formula>
    </cfRule>
  </conditionalFormatting>
  <conditionalFormatting sqref="F23:G29">
    <cfRule type="expression" dxfId="5055" priority="2836">
      <formula>$C23&lt;$E$3</formula>
    </cfRule>
  </conditionalFormatting>
  <conditionalFormatting sqref="F23:G29">
    <cfRule type="expression" dxfId="5054" priority="2835">
      <formula>$E23=""</formula>
    </cfRule>
  </conditionalFormatting>
  <conditionalFormatting sqref="F23:G29">
    <cfRule type="expression" dxfId="5053" priority="2834">
      <formula>$E23=""</formula>
    </cfRule>
  </conditionalFormatting>
  <conditionalFormatting sqref="F23:G29">
    <cfRule type="expression" dxfId="5052" priority="2833">
      <formula>$C23&lt;$E$3</formula>
    </cfRule>
  </conditionalFormatting>
  <conditionalFormatting sqref="F23:G29">
    <cfRule type="expression" dxfId="5051" priority="2832">
      <formula>$E23=""</formula>
    </cfRule>
  </conditionalFormatting>
  <conditionalFormatting sqref="F23:G29">
    <cfRule type="expression" dxfId="5050" priority="2831">
      <formula>$C23&lt;$E$3</formula>
    </cfRule>
  </conditionalFormatting>
  <conditionalFormatting sqref="F23:G29">
    <cfRule type="expression" dxfId="5049" priority="2830">
      <formula>$E23=""</formula>
    </cfRule>
  </conditionalFormatting>
  <conditionalFormatting sqref="F23:G29">
    <cfRule type="expression" dxfId="5048" priority="2829">
      <formula>$C23&lt;$E$3</formula>
    </cfRule>
  </conditionalFormatting>
  <conditionalFormatting sqref="F23:G29">
    <cfRule type="expression" dxfId="5047" priority="2828">
      <formula>$E23=""</formula>
    </cfRule>
  </conditionalFormatting>
  <conditionalFormatting sqref="F38:H38 F32:G37">
    <cfRule type="expression" dxfId="5046" priority="2827">
      <formula>$C32&lt;$E$3</formula>
    </cfRule>
  </conditionalFormatting>
  <conditionalFormatting sqref="F38:H38 F32:G37">
    <cfRule type="expression" dxfId="5045" priority="2823">
      <formula>$C32=$E$3</formula>
    </cfRule>
    <cfRule type="expression" dxfId="5044" priority="2824">
      <formula>$C32&lt;$E$3</formula>
    </cfRule>
    <cfRule type="cellIs" dxfId="5043" priority="2825" operator="equal">
      <formula>0</formula>
    </cfRule>
    <cfRule type="expression" dxfId="5042" priority="2826">
      <formula>$C32&gt;$E$3</formula>
    </cfRule>
  </conditionalFormatting>
  <conditionalFormatting sqref="F38:H38 F32:G37">
    <cfRule type="expression" dxfId="5041" priority="2822">
      <formula>$C32&lt;$E$3</formula>
    </cfRule>
  </conditionalFormatting>
  <conditionalFormatting sqref="F38:H38 F32:G37">
    <cfRule type="expression" dxfId="5040" priority="2818">
      <formula>$C32=$E$3</formula>
    </cfRule>
    <cfRule type="expression" dxfId="5039" priority="2819">
      <formula>$C32&lt;$E$3</formula>
    </cfRule>
    <cfRule type="cellIs" dxfId="5038" priority="2820" operator="equal">
      <formula>0</formula>
    </cfRule>
    <cfRule type="expression" dxfId="5037" priority="2821">
      <formula>$C32&gt;$E$3</formula>
    </cfRule>
  </conditionalFormatting>
  <conditionalFormatting sqref="F38:H38 F32:G37">
    <cfRule type="expression" dxfId="5036" priority="2817">
      <formula>$E32=""</formula>
    </cfRule>
  </conditionalFormatting>
  <conditionalFormatting sqref="F38:H38 F32:G37">
    <cfRule type="expression" dxfId="5035" priority="2816">
      <formula>$C32&lt;$E$3</formula>
    </cfRule>
  </conditionalFormatting>
  <conditionalFormatting sqref="F38:H38 F32:G37">
    <cfRule type="expression" dxfId="5034" priority="2815">
      <formula>$E32=""</formula>
    </cfRule>
  </conditionalFormatting>
  <conditionalFormatting sqref="F38:H38 F32:G37">
    <cfRule type="expression" dxfId="5033" priority="2814">
      <formula>$E32=""</formula>
    </cfRule>
  </conditionalFormatting>
  <conditionalFormatting sqref="F38:H38 F32:G37">
    <cfRule type="expression" dxfId="5032" priority="2813">
      <formula>$C32&lt;$E$3</formula>
    </cfRule>
  </conditionalFormatting>
  <conditionalFormatting sqref="F38:H38 F32:G37">
    <cfRule type="expression" dxfId="5031" priority="2812">
      <formula>$E32=""</formula>
    </cfRule>
  </conditionalFormatting>
  <conditionalFormatting sqref="F38:H38 F32:G37">
    <cfRule type="expression" dxfId="5030" priority="2811">
      <formula>$C32&lt;$E$3</formula>
    </cfRule>
  </conditionalFormatting>
  <conditionalFormatting sqref="F38:H38 F32:G37">
    <cfRule type="expression" dxfId="5029" priority="2810">
      <formula>$E32=""</formula>
    </cfRule>
  </conditionalFormatting>
  <conditionalFormatting sqref="F38:H38 F32:G37">
    <cfRule type="expression" dxfId="5028" priority="2809">
      <formula>$C32&lt;$E$3</formula>
    </cfRule>
  </conditionalFormatting>
  <conditionalFormatting sqref="F38:H38 F32:G37">
    <cfRule type="expression" dxfId="5027" priority="2808">
      <formula>$E32=""</formula>
    </cfRule>
  </conditionalFormatting>
  <conditionalFormatting sqref="F41:H47">
    <cfRule type="expression" dxfId="5026" priority="2807">
      <formula>$C41&lt;$E$3</formula>
    </cfRule>
  </conditionalFormatting>
  <conditionalFormatting sqref="F41:H47">
    <cfRule type="expression" dxfId="5025" priority="2803">
      <formula>$C41=$E$3</formula>
    </cfRule>
    <cfRule type="expression" dxfId="5024" priority="2804">
      <formula>$C41&lt;$E$3</formula>
    </cfRule>
    <cfRule type="cellIs" dxfId="5023" priority="2805" operator="equal">
      <formula>0</formula>
    </cfRule>
    <cfRule type="expression" dxfId="5022" priority="2806">
      <formula>$C41&gt;$E$3</formula>
    </cfRule>
  </conditionalFormatting>
  <conditionalFormatting sqref="F41:H47">
    <cfRule type="expression" dxfId="5021" priority="2802">
      <formula>$C41&lt;$E$3</formula>
    </cfRule>
  </conditionalFormatting>
  <conditionalFormatting sqref="F41:H47">
    <cfRule type="expression" dxfId="5020" priority="2798">
      <formula>$C41=$E$3</formula>
    </cfRule>
    <cfRule type="expression" dxfId="5019" priority="2799">
      <formula>$C41&lt;$E$3</formula>
    </cfRule>
    <cfRule type="cellIs" dxfId="5018" priority="2800" operator="equal">
      <formula>0</formula>
    </cfRule>
    <cfRule type="expression" dxfId="5017" priority="2801">
      <formula>$C41&gt;$E$3</formula>
    </cfRule>
  </conditionalFormatting>
  <conditionalFormatting sqref="F41:H47">
    <cfRule type="expression" dxfId="5016" priority="2797">
      <formula>$E41=""</formula>
    </cfRule>
  </conditionalFormatting>
  <conditionalFormatting sqref="F41:H47">
    <cfRule type="expression" dxfId="5015" priority="2796">
      <formula>$C41&lt;$E$3</formula>
    </cfRule>
  </conditionalFormatting>
  <conditionalFormatting sqref="F41:H47">
    <cfRule type="expression" dxfId="5014" priority="2795">
      <formula>$E41=""</formula>
    </cfRule>
  </conditionalFormatting>
  <conditionalFormatting sqref="F41:H47">
    <cfRule type="expression" dxfId="5013" priority="2794">
      <formula>$E41=""</formula>
    </cfRule>
  </conditionalFormatting>
  <conditionalFormatting sqref="F41:H47">
    <cfRule type="expression" dxfId="5012" priority="2793">
      <formula>$C41&lt;$E$3</formula>
    </cfRule>
  </conditionalFormatting>
  <conditionalFormatting sqref="F41:H47">
    <cfRule type="expression" dxfId="5011" priority="2792">
      <formula>$E41=""</formula>
    </cfRule>
  </conditionalFormatting>
  <conditionalFormatting sqref="F41:H47">
    <cfRule type="expression" dxfId="5010" priority="2791">
      <formula>$C41&lt;$E$3</formula>
    </cfRule>
  </conditionalFormatting>
  <conditionalFormatting sqref="F41:H47">
    <cfRule type="expression" dxfId="5009" priority="2790">
      <formula>$E41=""</formula>
    </cfRule>
  </conditionalFormatting>
  <conditionalFormatting sqref="F41:H47">
    <cfRule type="expression" dxfId="5008" priority="2789">
      <formula>$C41&lt;$E$3</formula>
    </cfRule>
  </conditionalFormatting>
  <conditionalFormatting sqref="F41:H47">
    <cfRule type="expression" dxfId="5007" priority="2788">
      <formula>$E41=""</formula>
    </cfRule>
  </conditionalFormatting>
  <conditionalFormatting sqref="F50:H51">
    <cfRule type="cellIs" dxfId="5006" priority="2787" stopIfTrue="1" operator="lessThan">
      <formula>0</formula>
    </cfRule>
  </conditionalFormatting>
  <conditionalFormatting sqref="F50:H51">
    <cfRule type="expression" dxfId="5005" priority="2786">
      <formula>$C50&lt;$E$3</formula>
    </cfRule>
  </conditionalFormatting>
  <conditionalFormatting sqref="F50:H51">
    <cfRule type="expression" dxfId="5004" priority="2782">
      <formula>$C50=$E$3</formula>
    </cfRule>
    <cfRule type="expression" dxfId="5003" priority="2783">
      <formula>$C50&lt;$E$3</formula>
    </cfRule>
    <cfRule type="cellIs" dxfId="5002" priority="2784" operator="equal">
      <formula>0</formula>
    </cfRule>
    <cfRule type="expression" dxfId="5001" priority="2785">
      <formula>$C50&gt;$E$3</formula>
    </cfRule>
  </conditionalFormatting>
  <conditionalFormatting sqref="F50:H51">
    <cfRule type="expression" dxfId="5000" priority="2781">
      <formula>$C50&lt;$E$3</formula>
    </cfRule>
  </conditionalFormatting>
  <conditionalFormatting sqref="F50:H51">
    <cfRule type="expression" dxfId="4999" priority="2777">
      <formula>$C50=$E$3</formula>
    </cfRule>
    <cfRule type="expression" dxfId="4998" priority="2778">
      <formula>$C50&lt;$E$3</formula>
    </cfRule>
    <cfRule type="cellIs" dxfId="4997" priority="2779" operator="equal">
      <formula>0</formula>
    </cfRule>
    <cfRule type="expression" dxfId="4996" priority="2780">
      <formula>$C50&gt;$E$3</formula>
    </cfRule>
  </conditionalFormatting>
  <conditionalFormatting sqref="F50:H51">
    <cfRule type="expression" dxfId="4995" priority="2776">
      <formula>$C50&lt;$E$3</formula>
    </cfRule>
  </conditionalFormatting>
  <conditionalFormatting sqref="F50:H51">
    <cfRule type="expression" dxfId="4994" priority="2772">
      <formula>$C50=$E$3</formula>
    </cfRule>
    <cfRule type="expression" dxfId="4993" priority="2773">
      <formula>$C50&lt;$E$3</formula>
    </cfRule>
    <cfRule type="cellIs" dxfId="4992" priority="2774" operator="equal">
      <formula>0</formula>
    </cfRule>
    <cfRule type="expression" dxfId="4991" priority="2775">
      <formula>$C50&gt;$E$3</formula>
    </cfRule>
  </conditionalFormatting>
  <conditionalFormatting sqref="F50:H51">
    <cfRule type="expression" dxfId="4990" priority="2771">
      <formula>$C50&lt;$E$3</formula>
    </cfRule>
  </conditionalFormatting>
  <conditionalFormatting sqref="F50:H51">
    <cfRule type="expression" dxfId="4989" priority="2767">
      <formula>$C50=$E$3</formula>
    </cfRule>
    <cfRule type="expression" dxfId="4988" priority="2768">
      <formula>$C50&lt;$E$3</formula>
    </cfRule>
    <cfRule type="cellIs" dxfId="4987" priority="2769" operator="equal">
      <formula>0</formula>
    </cfRule>
    <cfRule type="expression" dxfId="4986" priority="2770">
      <formula>$C50&gt;$E$3</formula>
    </cfRule>
  </conditionalFormatting>
  <conditionalFormatting sqref="F50:H51">
    <cfRule type="expression" dxfId="4985" priority="2766">
      <formula>$E50=""</formula>
    </cfRule>
  </conditionalFormatting>
  <conditionalFormatting sqref="F50:H51">
    <cfRule type="expression" dxfId="4984" priority="2765">
      <formula>$C50&lt;$E$3</formula>
    </cfRule>
  </conditionalFormatting>
  <conditionalFormatting sqref="F50:H51">
    <cfRule type="expression" dxfId="4983" priority="2764">
      <formula>$E50=""</formula>
    </cfRule>
  </conditionalFormatting>
  <conditionalFormatting sqref="F50:H51">
    <cfRule type="expression" dxfId="4982" priority="2763">
      <formula>$E50=""</formula>
    </cfRule>
  </conditionalFormatting>
  <conditionalFormatting sqref="F50:H51">
    <cfRule type="expression" dxfId="4981" priority="2762">
      <formula>$C50&lt;$E$3</formula>
    </cfRule>
  </conditionalFormatting>
  <conditionalFormatting sqref="F50:H51">
    <cfRule type="expression" dxfId="4980" priority="2761">
      <formula>$E50=""</formula>
    </cfRule>
  </conditionalFormatting>
  <conditionalFormatting sqref="F50:H51">
    <cfRule type="expression" dxfId="4979" priority="2760">
      <formula>$C50&lt;$E$3</formula>
    </cfRule>
  </conditionalFormatting>
  <conditionalFormatting sqref="F50:H51">
    <cfRule type="expression" dxfId="4978" priority="2759">
      <formula>$E50=""</formula>
    </cfRule>
  </conditionalFormatting>
  <conditionalFormatting sqref="F50:H51">
    <cfRule type="expression" dxfId="4977" priority="2758">
      <formula>$C50&lt;$E$3</formula>
    </cfRule>
  </conditionalFormatting>
  <conditionalFormatting sqref="F50:H51">
    <cfRule type="expression" dxfId="4976" priority="2757">
      <formula>$E50=""</formula>
    </cfRule>
  </conditionalFormatting>
  <conditionalFormatting sqref="E14:E20 E5:E11 E41:E47 E32:E38 E23:E29 E50:E51">
    <cfRule type="containsText" dxfId="4975" priority="2750" operator="containsText" text="Sa">
      <formula>NOT(ISERROR(SEARCH("Sa",E5)))</formula>
    </cfRule>
    <cfRule type="containsText" dxfId="4974" priority="2752" operator="containsText" text="Fr">
      <formula>NOT(ISERROR(SEARCH("Fr",E5)))</formula>
    </cfRule>
    <cfRule type="containsText" dxfId="4973" priority="2753" operator="containsText" text="Th">
      <formula>NOT(ISERROR(SEARCH("Th",E5)))</formula>
    </cfRule>
  </conditionalFormatting>
  <conditionalFormatting sqref="E14:E20 E5:E11 E41:E47 E32:E38 E23:E29 E50:E51">
    <cfRule type="containsText" dxfId="4972" priority="2754" operator="containsText" text="Wed">
      <formula>NOT(ISERROR(SEARCH("Wed",E5)))</formula>
    </cfRule>
    <cfRule type="containsText" dxfId="4971" priority="2755" operator="containsText" text="Tu">
      <formula>NOT(ISERROR(SEARCH("Tu",E5)))</formula>
    </cfRule>
    <cfRule type="beginsWith" dxfId="4970" priority="2756" operator="beginsWith" text="M">
      <formula>LEFT(E5,1)="M"</formula>
    </cfRule>
  </conditionalFormatting>
  <conditionalFormatting sqref="E14:E20 E5:E11 E41:E47 E32:E38 E23:E29 E50:E51">
    <cfRule type="containsText" dxfId="4969" priority="2751" operator="containsText" text="Su">
      <formula>NOT(ISERROR(SEARCH("Su",E5)))</formula>
    </cfRule>
  </conditionalFormatting>
  <conditionalFormatting sqref="C4">
    <cfRule type="cellIs" dxfId="4968" priority="2746" stopIfTrue="1" operator="notBetween">
      <formula>$B$2</formula>
      <formula>$B$3</formula>
    </cfRule>
  </conditionalFormatting>
  <conditionalFormatting sqref="C4">
    <cfRule type="cellIs" dxfId="4967" priority="2747" operator="greaterThan">
      <formula>$E$3</formula>
    </cfRule>
    <cfRule type="cellIs" dxfId="4966" priority="2748" operator="equal">
      <formula>$E$3</formula>
    </cfRule>
    <cfRule type="cellIs" dxfId="4965" priority="2749" operator="lessThan">
      <formula>$E$3</formula>
    </cfRule>
  </conditionalFormatting>
  <conditionalFormatting sqref="H23:H29 H32 H14:H20 H11">
    <cfRule type="cellIs" dxfId="4964" priority="2556" stopIfTrue="1" operator="lessThan">
      <formula>0</formula>
    </cfRule>
  </conditionalFormatting>
  <conditionalFormatting sqref="H12">
    <cfRule type="expression" dxfId="4963" priority="2555">
      <formula>$F12&gt;=$F13</formula>
    </cfRule>
  </conditionalFormatting>
  <conditionalFormatting sqref="H21">
    <cfRule type="expression" dxfId="4962" priority="2554">
      <formula>$F21&gt;=$F22</formula>
    </cfRule>
  </conditionalFormatting>
  <conditionalFormatting sqref="H30">
    <cfRule type="expression" dxfId="4961" priority="2553">
      <formula>$F30&gt;=$F31</formula>
    </cfRule>
  </conditionalFormatting>
  <conditionalFormatting sqref="H12">
    <cfRule type="expression" dxfId="4960" priority="2552">
      <formula>$F12&gt;=$F13</formula>
    </cfRule>
  </conditionalFormatting>
  <conditionalFormatting sqref="H21">
    <cfRule type="expression" dxfId="4959" priority="2551">
      <formula>$F21&gt;=$F22</formula>
    </cfRule>
  </conditionalFormatting>
  <conditionalFormatting sqref="H30">
    <cfRule type="expression" dxfId="4958" priority="2550">
      <formula>$F30&gt;=$F31</formula>
    </cfRule>
  </conditionalFormatting>
  <conditionalFormatting sqref="H11">
    <cfRule type="expression" dxfId="4957" priority="2548">
      <formula>$C11&lt;$E$3</formula>
    </cfRule>
  </conditionalFormatting>
  <conditionalFormatting sqref="H11">
    <cfRule type="expression" dxfId="4956" priority="2545">
      <formula>$C11=$E$3</formula>
    </cfRule>
    <cfRule type="expression" dxfId="4955" priority="2546">
      <formula>$C11&lt;$E$3</formula>
    </cfRule>
    <cfRule type="cellIs" dxfId="4954" priority="2547" operator="equal">
      <formula>0</formula>
    </cfRule>
    <cfRule type="expression" dxfId="4953" priority="2549">
      <formula>$C11&gt;$E$3</formula>
    </cfRule>
  </conditionalFormatting>
  <conditionalFormatting sqref="H11">
    <cfRule type="expression" dxfId="4952" priority="2544">
      <formula>$C11&lt;$E$3</formula>
    </cfRule>
  </conditionalFormatting>
  <conditionalFormatting sqref="H11">
    <cfRule type="expression" dxfId="4951" priority="2540">
      <formula>$C11=$E$3</formula>
    </cfRule>
    <cfRule type="expression" dxfId="4950" priority="2541">
      <formula>$C11&lt;$E$3</formula>
    </cfRule>
    <cfRule type="cellIs" dxfId="4949" priority="2542" operator="equal">
      <formula>0</formula>
    </cfRule>
    <cfRule type="expression" dxfId="4948" priority="2543">
      <formula>$C11&gt;$E$3</formula>
    </cfRule>
  </conditionalFormatting>
  <conditionalFormatting sqref="H11">
    <cfRule type="expression" dxfId="4947" priority="2539">
      <formula>$C11&lt;$E$3</formula>
    </cfRule>
  </conditionalFormatting>
  <conditionalFormatting sqref="H11">
    <cfRule type="expression" dxfId="4946" priority="2535">
      <formula>$C11=$E$3</formula>
    </cfRule>
    <cfRule type="expression" dxfId="4945" priority="2536">
      <formula>$C11&lt;$E$3</formula>
    </cfRule>
    <cfRule type="cellIs" dxfId="4944" priority="2537" operator="equal">
      <formula>0</formula>
    </cfRule>
    <cfRule type="expression" dxfId="4943" priority="2538">
      <formula>$C11&gt;$E$3</formula>
    </cfRule>
  </conditionalFormatting>
  <conditionalFormatting sqref="H11">
    <cfRule type="expression" dxfId="4942" priority="2534">
      <formula>$C11&lt;$E$3</formula>
    </cfRule>
  </conditionalFormatting>
  <conditionalFormatting sqref="H11">
    <cfRule type="expression" dxfId="4941" priority="2530">
      <formula>$C11=$E$3</formula>
    </cfRule>
    <cfRule type="expression" dxfId="4940" priority="2531">
      <formula>$C11&lt;$E$3</formula>
    </cfRule>
    <cfRule type="cellIs" dxfId="4939" priority="2532" operator="equal">
      <formula>0</formula>
    </cfRule>
    <cfRule type="expression" dxfId="4938" priority="2533">
      <formula>$C11&gt;$E$3</formula>
    </cfRule>
  </conditionalFormatting>
  <conditionalFormatting sqref="H11">
    <cfRule type="expression" dxfId="4937" priority="2529">
      <formula>$E11=""</formula>
    </cfRule>
  </conditionalFormatting>
  <conditionalFormatting sqref="H11">
    <cfRule type="expression" dxfId="4936" priority="2528">
      <formula>$C11&lt;$E$3</formula>
    </cfRule>
  </conditionalFormatting>
  <conditionalFormatting sqref="H11">
    <cfRule type="expression" dxfId="4935" priority="2527">
      <formula>$E11=""</formula>
    </cfRule>
  </conditionalFormatting>
  <conditionalFormatting sqref="H11">
    <cfRule type="expression" dxfId="4934" priority="2526">
      <formula>$E11=""</formula>
    </cfRule>
  </conditionalFormatting>
  <conditionalFormatting sqref="H11">
    <cfRule type="expression" dxfId="4933" priority="2525">
      <formula>$C11&lt;$E$3</formula>
    </cfRule>
  </conditionalFormatting>
  <conditionalFormatting sqref="H11">
    <cfRule type="expression" dxfId="4932" priority="2524">
      <formula>$E11=""</formula>
    </cfRule>
  </conditionalFormatting>
  <conditionalFormatting sqref="H11">
    <cfRule type="expression" dxfId="4931" priority="2523">
      <formula>$C11&lt;$E$3</formula>
    </cfRule>
  </conditionalFormatting>
  <conditionalFormatting sqref="H11">
    <cfRule type="expression" dxfId="4930" priority="2522">
      <formula>$E11=""</formula>
    </cfRule>
  </conditionalFormatting>
  <conditionalFormatting sqref="H11">
    <cfRule type="expression" dxfId="4929" priority="2521">
      <formula>$C11&lt;$E$3</formula>
    </cfRule>
  </conditionalFormatting>
  <conditionalFormatting sqref="H11">
    <cfRule type="expression" dxfId="4928" priority="2520">
      <formula>$E11=""</formula>
    </cfRule>
  </conditionalFormatting>
  <conditionalFormatting sqref="H14:H20">
    <cfRule type="expression" dxfId="4927" priority="2518">
      <formula>$C14&lt;$E$3</formula>
    </cfRule>
  </conditionalFormatting>
  <conditionalFormatting sqref="H14:H20">
    <cfRule type="expression" dxfId="4926" priority="2515">
      <formula>$C14=$E$3</formula>
    </cfRule>
    <cfRule type="expression" dxfId="4925" priority="2516">
      <formula>$C14&lt;$E$3</formula>
    </cfRule>
    <cfRule type="cellIs" dxfId="4924" priority="2517" operator="equal">
      <formula>0</formula>
    </cfRule>
    <cfRule type="expression" dxfId="4923" priority="2519">
      <formula>$C14&gt;$E$3</formula>
    </cfRule>
  </conditionalFormatting>
  <conditionalFormatting sqref="H14:H20">
    <cfRule type="expression" dxfId="4922" priority="2514">
      <formula>$C14&lt;$E$3</formula>
    </cfRule>
  </conditionalFormatting>
  <conditionalFormatting sqref="H14:H20">
    <cfRule type="expression" dxfId="4921" priority="2510">
      <formula>$C14=$E$3</formula>
    </cfRule>
    <cfRule type="expression" dxfId="4920" priority="2511">
      <formula>$C14&lt;$E$3</formula>
    </cfRule>
    <cfRule type="cellIs" dxfId="4919" priority="2512" operator="equal">
      <formula>0</formula>
    </cfRule>
    <cfRule type="expression" dxfId="4918" priority="2513">
      <formula>$C14&gt;$E$3</formula>
    </cfRule>
  </conditionalFormatting>
  <conditionalFormatting sqref="H14:H20">
    <cfRule type="expression" dxfId="4917" priority="2509">
      <formula>$C14&lt;$E$3</formula>
    </cfRule>
  </conditionalFormatting>
  <conditionalFormatting sqref="H14:H20">
    <cfRule type="expression" dxfId="4916" priority="2505">
      <formula>$C14=$E$3</formula>
    </cfRule>
    <cfRule type="expression" dxfId="4915" priority="2506">
      <formula>$C14&lt;$E$3</formula>
    </cfRule>
    <cfRule type="cellIs" dxfId="4914" priority="2507" operator="equal">
      <formula>0</formula>
    </cfRule>
    <cfRule type="expression" dxfId="4913" priority="2508">
      <formula>$C14&gt;$E$3</formula>
    </cfRule>
  </conditionalFormatting>
  <conditionalFormatting sqref="H14:H20">
    <cfRule type="expression" dxfId="4912" priority="2504">
      <formula>$C14&lt;$E$3</formula>
    </cfRule>
  </conditionalFormatting>
  <conditionalFormatting sqref="H14:H20">
    <cfRule type="expression" dxfId="4911" priority="2500">
      <formula>$C14=$E$3</formula>
    </cfRule>
    <cfRule type="expression" dxfId="4910" priority="2501">
      <formula>$C14&lt;$E$3</formula>
    </cfRule>
    <cfRule type="cellIs" dxfId="4909" priority="2502" operator="equal">
      <formula>0</formula>
    </cfRule>
    <cfRule type="expression" dxfId="4908" priority="2503">
      <formula>$C14&gt;$E$3</formula>
    </cfRule>
  </conditionalFormatting>
  <conditionalFormatting sqref="H14:H20">
    <cfRule type="expression" dxfId="4907" priority="2499">
      <formula>$E14=""</formula>
    </cfRule>
  </conditionalFormatting>
  <conditionalFormatting sqref="H14:H20">
    <cfRule type="expression" dxfId="4906" priority="2498">
      <formula>$C14&lt;$E$3</formula>
    </cfRule>
  </conditionalFormatting>
  <conditionalFormatting sqref="H14:H20">
    <cfRule type="expression" dxfId="4905" priority="2497">
      <formula>$E14=""</formula>
    </cfRule>
  </conditionalFormatting>
  <conditionalFormatting sqref="H14:H20">
    <cfRule type="expression" dxfId="4904" priority="2496">
      <formula>$E14=""</formula>
    </cfRule>
  </conditionalFormatting>
  <conditionalFormatting sqref="H14:H20">
    <cfRule type="expression" dxfId="4903" priority="2495">
      <formula>$C14&lt;$E$3</formula>
    </cfRule>
  </conditionalFormatting>
  <conditionalFormatting sqref="H14:H20">
    <cfRule type="expression" dxfId="4902" priority="2494">
      <formula>$E14=""</formula>
    </cfRule>
  </conditionalFormatting>
  <conditionalFormatting sqref="H14:H20">
    <cfRule type="expression" dxfId="4901" priority="2493">
      <formula>$C14&lt;$E$3</formula>
    </cfRule>
  </conditionalFormatting>
  <conditionalFormatting sqref="H14:H20">
    <cfRule type="expression" dxfId="4900" priority="2492">
      <formula>$E14=""</formula>
    </cfRule>
  </conditionalFormatting>
  <conditionalFormatting sqref="H14:H20">
    <cfRule type="expression" dxfId="4899" priority="2491">
      <formula>$C14&lt;$E$3</formula>
    </cfRule>
  </conditionalFormatting>
  <conditionalFormatting sqref="H14:H20">
    <cfRule type="expression" dxfId="4898" priority="2490">
      <formula>$E14=""</formula>
    </cfRule>
  </conditionalFormatting>
  <conditionalFormatting sqref="H23:H29">
    <cfRule type="expression" dxfId="4897" priority="2488">
      <formula>$C23&lt;$E$3</formula>
    </cfRule>
  </conditionalFormatting>
  <conditionalFormatting sqref="H23:H29">
    <cfRule type="expression" dxfId="4896" priority="2485">
      <formula>$C23=$E$3</formula>
    </cfRule>
    <cfRule type="expression" dxfId="4895" priority="2486">
      <formula>$C23&lt;$E$3</formula>
    </cfRule>
    <cfRule type="cellIs" dxfId="4894" priority="2487" operator="equal">
      <formula>0</formula>
    </cfRule>
    <cfRule type="expression" dxfId="4893" priority="2489">
      <formula>$C23&gt;$E$3</formula>
    </cfRule>
  </conditionalFormatting>
  <conditionalFormatting sqref="H23:H29">
    <cfRule type="expression" dxfId="4892" priority="2484">
      <formula>$C23&lt;$E$3</formula>
    </cfRule>
  </conditionalFormatting>
  <conditionalFormatting sqref="H23:H29">
    <cfRule type="expression" dxfId="4891" priority="2480">
      <formula>$C23=$E$3</formula>
    </cfRule>
    <cfRule type="expression" dxfId="4890" priority="2481">
      <formula>$C23&lt;$E$3</formula>
    </cfRule>
    <cfRule type="cellIs" dxfId="4889" priority="2482" operator="equal">
      <formula>0</formula>
    </cfRule>
    <cfRule type="expression" dxfId="4888" priority="2483">
      <formula>$C23&gt;$E$3</formula>
    </cfRule>
  </conditionalFormatting>
  <conditionalFormatting sqref="H23:H29">
    <cfRule type="expression" dxfId="4887" priority="2479">
      <formula>$C23&lt;$E$3</formula>
    </cfRule>
  </conditionalFormatting>
  <conditionalFormatting sqref="H23:H29">
    <cfRule type="expression" dxfId="4886" priority="2475">
      <formula>$C23=$E$3</formula>
    </cfRule>
    <cfRule type="expression" dxfId="4885" priority="2476">
      <formula>$C23&lt;$E$3</formula>
    </cfRule>
    <cfRule type="cellIs" dxfId="4884" priority="2477" operator="equal">
      <formula>0</formula>
    </cfRule>
    <cfRule type="expression" dxfId="4883" priority="2478">
      <formula>$C23&gt;$E$3</formula>
    </cfRule>
  </conditionalFormatting>
  <conditionalFormatting sqref="H23:H29">
    <cfRule type="expression" dxfId="4882" priority="2474">
      <formula>$C23&lt;$E$3</formula>
    </cfRule>
  </conditionalFormatting>
  <conditionalFormatting sqref="H23:H29">
    <cfRule type="expression" dxfId="4881" priority="2470">
      <formula>$C23=$E$3</formula>
    </cfRule>
    <cfRule type="expression" dxfId="4880" priority="2471">
      <formula>$C23&lt;$E$3</formula>
    </cfRule>
    <cfRule type="cellIs" dxfId="4879" priority="2472" operator="equal">
      <formula>0</formula>
    </cfRule>
    <cfRule type="expression" dxfId="4878" priority="2473">
      <formula>$C23&gt;$E$3</formula>
    </cfRule>
  </conditionalFormatting>
  <conditionalFormatting sqref="H23:H29">
    <cfRule type="expression" dxfId="4877" priority="2469">
      <formula>$E23=""</formula>
    </cfRule>
  </conditionalFormatting>
  <conditionalFormatting sqref="H23:H29">
    <cfRule type="expression" dxfId="4876" priority="2468">
      <formula>$C23&lt;$E$3</formula>
    </cfRule>
  </conditionalFormatting>
  <conditionalFormatting sqref="H23:H29">
    <cfRule type="expression" dxfId="4875" priority="2467">
      <formula>$E23=""</formula>
    </cfRule>
  </conditionalFormatting>
  <conditionalFormatting sqref="H23:H29">
    <cfRule type="expression" dxfId="4874" priority="2466">
      <formula>$E23=""</formula>
    </cfRule>
  </conditionalFormatting>
  <conditionalFormatting sqref="H23:H29">
    <cfRule type="expression" dxfId="4873" priority="2465">
      <formula>$C23&lt;$E$3</formula>
    </cfRule>
  </conditionalFormatting>
  <conditionalFormatting sqref="H23:H29">
    <cfRule type="expression" dxfId="4872" priority="2464">
      <formula>$E23=""</formula>
    </cfRule>
  </conditionalFormatting>
  <conditionalFormatting sqref="H23:H29">
    <cfRule type="expression" dxfId="4871" priority="2463">
      <formula>$C23&lt;$E$3</formula>
    </cfRule>
  </conditionalFormatting>
  <conditionalFormatting sqref="H23:H29">
    <cfRule type="expression" dxfId="4870" priority="2462">
      <formula>$E23=""</formula>
    </cfRule>
  </conditionalFormatting>
  <conditionalFormatting sqref="H23:H29">
    <cfRule type="expression" dxfId="4869" priority="2461">
      <formula>$C23&lt;$E$3</formula>
    </cfRule>
  </conditionalFormatting>
  <conditionalFormatting sqref="H23:H29">
    <cfRule type="expression" dxfId="4868" priority="2460">
      <formula>$E23=""</formula>
    </cfRule>
  </conditionalFormatting>
  <conditionalFormatting sqref="H32">
    <cfRule type="expression" dxfId="4867" priority="2458">
      <formula>$C32&lt;$E$3</formula>
    </cfRule>
  </conditionalFormatting>
  <conditionalFormatting sqref="H32">
    <cfRule type="expression" dxfId="4866" priority="2455">
      <formula>$C32=$E$3</formula>
    </cfRule>
    <cfRule type="expression" dxfId="4865" priority="2456">
      <formula>$C32&lt;$E$3</formula>
    </cfRule>
    <cfRule type="cellIs" dxfId="4864" priority="2457" operator="equal">
      <formula>0</formula>
    </cfRule>
    <cfRule type="expression" dxfId="4863" priority="2459">
      <formula>$C32&gt;$E$3</formula>
    </cfRule>
  </conditionalFormatting>
  <conditionalFormatting sqref="H32">
    <cfRule type="expression" dxfId="4862" priority="2454">
      <formula>$C32&lt;$E$3</formula>
    </cfRule>
  </conditionalFormatting>
  <conditionalFormatting sqref="H32">
    <cfRule type="expression" dxfId="4861" priority="2450">
      <formula>$C32=$E$3</formula>
    </cfRule>
    <cfRule type="expression" dxfId="4860" priority="2451">
      <formula>$C32&lt;$E$3</formula>
    </cfRule>
    <cfRule type="cellIs" dxfId="4859" priority="2452" operator="equal">
      <formula>0</formula>
    </cfRule>
    <cfRule type="expression" dxfId="4858" priority="2453">
      <formula>$C32&gt;$E$3</formula>
    </cfRule>
  </conditionalFormatting>
  <conditionalFormatting sqref="H32">
    <cfRule type="expression" dxfId="4857" priority="2449">
      <formula>$C32&lt;$E$3</formula>
    </cfRule>
  </conditionalFormatting>
  <conditionalFormatting sqref="H32">
    <cfRule type="expression" dxfId="4856" priority="2445">
      <formula>$C32=$E$3</formula>
    </cfRule>
    <cfRule type="expression" dxfId="4855" priority="2446">
      <formula>$C32&lt;$E$3</formula>
    </cfRule>
    <cfRule type="cellIs" dxfId="4854" priority="2447" operator="equal">
      <formula>0</formula>
    </cfRule>
    <cfRule type="expression" dxfId="4853" priority="2448">
      <formula>$C32&gt;$E$3</formula>
    </cfRule>
  </conditionalFormatting>
  <conditionalFormatting sqref="H32">
    <cfRule type="expression" dxfId="4852" priority="2444">
      <formula>$C32&lt;$E$3</formula>
    </cfRule>
  </conditionalFormatting>
  <conditionalFormatting sqref="H32">
    <cfRule type="expression" dxfId="4851" priority="2440">
      <formula>$C32=$E$3</formula>
    </cfRule>
    <cfRule type="expression" dxfId="4850" priority="2441">
      <formula>$C32&lt;$E$3</formula>
    </cfRule>
    <cfRule type="cellIs" dxfId="4849" priority="2442" operator="equal">
      <formula>0</formula>
    </cfRule>
    <cfRule type="expression" dxfId="4848" priority="2443">
      <formula>$C32&gt;$E$3</formula>
    </cfRule>
  </conditionalFormatting>
  <conditionalFormatting sqref="H32">
    <cfRule type="expression" dxfId="4847" priority="2439">
      <formula>$E32=""</formula>
    </cfRule>
  </conditionalFormatting>
  <conditionalFormatting sqref="H32">
    <cfRule type="expression" dxfId="4846" priority="2438">
      <formula>$C32&lt;$E$3</formula>
    </cfRule>
  </conditionalFormatting>
  <conditionalFormatting sqref="H32">
    <cfRule type="expression" dxfId="4845" priority="2437">
      <formula>$E32=""</formula>
    </cfRule>
  </conditionalFormatting>
  <conditionalFormatting sqref="H32">
    <cfRule type="expression" dxfId="4844" priority="2436">
      <formula>$E32=""</formula>
    </cfRule>
  </conditionalFormatting>
  <conditionalFormatting sqref="H32">
    <cfRule type="expression" dxfId="4843" priority="2435">
      <formula>$C32&lt;$E$3</formula>
    </cfRule>
  </conditionalFormatting>
  <conditionalFormatting sqref="H32">
    <cfRule type="expression" dxfId="4842" priority="2434">
      <formula>$E32=""</formula>
    </cfRule>
  </conditionalFormatting>
  <conditionalFormatting sqref="H32">
    <cfRule type="expression" dxfId="4841" priority="2433">
      <formula>$C32&lt;$E$3</formula>
    </cfRule>
  </conditionalFormatting>
  <conditionalFormatting sqref="H32">
    <cfRule type="expression" dxfId="4840" priority="2432">
      <formula>$E32=""</formula>
    </cfRule>
  </conditionalFormatting>
  <conditionalFormatting sqref="H32">
    <cfRule type="expression" dxfId="4839" priority="2431">
      <formula>$C32&lt;$E$3</formula>
    </cfRule>
  </conditionalFormatting>
  <conditionalFormatting sqref="H32">
    <cfRule type="expression" dxfId="4838" priority="2430">
      <formula>$E32=""</formula>
    </cfRule>
  </conditionalFormatting>
  <conditionalFormatting sqref="F52:H52">
    <cfRule type="expression" dxfId="4837" priority="2927" stopIfTrue="1">
      <formula>$H$52=-1E-55</formula>
    </cfRule>
    <cfRule type="expression" dxfId="4836" priority="2928">
      <formula>$F52&gt;=$F53</formula>
    </cfRule>
  </conditionalFormatting>
  <conditionalFormatting sqref="H33:H37">
    <cfRule type="cellIs" dxfId="4835" priority="2343" stopIfTrue="1" operator="lessThan">
      <formula>0</formula>
    </cfRule>
  </conditionalFormatting>
  <conditionalFormatting sqref="H33:H37">
    <cfRule type="expression" dxfId="4834" priority="2347">
      <formula>$C33&lt;$E$3</formula>
    </cfRule>
  </conditionalFormatting>
  <conditionalFormatting sqref="H33:H37">
    <cfRule type="expression" dxfId="4833" priority="2344">
      <formula>$C33=$E$3</formula>
    </cfRule>
    <cfRule type="expression" dxfId="4832" priority="2345">
      <formula>$C33&lt;$E$3</formula>
    </cfRule>
    <cfRule type="cellIs" dxfId="4831" priority="2346" operator="equal">
      <formula>0</formula>
    </cfRule>
    <cfRule type="expression" dxfId="4830" priority="2348">
      <formula>$C33&gt;$E$3</formula>
    </cfRule>
  </conditionalFormatting>
  <conditionalFormatting sqref="H33:H37">
    <cfRule type="expression" dxfId="4829" priority="2342">
      <formula>$C33&lt;$E$3</formula>
    </cfRule>
  </conditionalFormatting>
  <conditionalFormatting sqref="H33:H37">
    <cfRule type="expression" dxfId="4828" priority="2338">
      <formula>$C33=$E$3</formula>
    </cfRule>
    <cfRule type="expression" dxfId="4827" priority="2339">
      <formula>$C33&lt;$E$3</formula>
    </cfRule>
    <cfRule type="cellIs" dxfId="4826" priority="2340" operator="equal">
      <formula>0</formula>
    </cfRule>
    <cfRule type="expression" dxfId="4825" priority="2341">
      <formula>$C33&gt;$E$3</formula>
    </cfRule>
  </conditionalFormatting>
  <conditionalFormatting sqref="H33:H37">
    <cfRule type="expression" dxfId="4824" priority="2337">
      <formula>$E33=""</formula>
    </cfRule>
  </conditionalFormatting>
  <conditionalFormatting sqref="H36">
    <cfRule type="expression" dxfId="4823" priority="2336">
      <formula>$E36=""</formula>
    </cfRule>
  </conditionalFormatting>
  <conditionalFormatting sqref="H33:H37">
    <cfRule type="expression" dxfId="4822" priority="2335">
      <formula>$C33&lt;$E$3</formula>
    </cfRule>
  </conditionalFormatting>
  <conditionalFormatting sqref="H33:H37">
    <cfRule type="expression" dxfId="4821" priority="2331">
      <formula>$C33=$E$3</formula>
    </cfRule>
    <cfRule type="expression" dxfId="4820" priority="2332">
      <formula>$C33&lt;$E$3</formula>
    </cfRule>
    <cfRule type="cellIs" dxfId="4819" priority="2333" operator="equal">
      <formula>0</formula>
    </cfRule>
    <cfRule type="expression" dxfId="4818" priority="2334">
      <formula>$C33&gt;$E$3</formula>
    </cfRule>
  </conditionalFormatting>
  <conditionalFormatting sqref="H33:H37">
    <cfRule type="expression" dxfId="4817" priority="2330">
      <formula>$C33&lt;$E$3</formula>
    </cfRule>
  </conditionalFormatting>
  <conditionalFormatting sqref="H33:H37">
    <cfRule type="expression" dxfId="4816" priority="2326">
      <formula>$C33=$E$3</formula>
    </cfRule>
    <cfRule type="expression" dxfId="4815" priority="2327">
      <formula>$C33&lt;$E$3</formula>
    </cfRule>
    <cfRule type="cellIs" dxfId="4814" priority="2328" operator="equal">
      <formula>0</formula>
    </cfRule>
    <cfRule type="expression" dxfId="4813" priority="2329">
      <formula>$C33&gt;$E$3</formula>
    </cfRule>
  </conditionalFormatting>
  <conditionalFormatting sqref="H33:H37">
    <cfRule type="expression" dxfId="4812" priority="2325">
      <formula>$E33=""</formula>
    </cfRule>
  </conditionalFormatting>
  <conditionalFormatting sqref="H33:H37">
    <cfRule type="expression" dxfId="4811" priority="2324">
      <formula>$C33&lt;$E$3</formula>
    </cfRule>
  </conditionalFormatting>
  <conditionalFormatting sqref="H33:H37">
    <cfRule type="expression" dxfId="4810" priority="2323">
      <formula>$E33=""</formula>
    </cfRule>
  </conditionalFormatting>
  <conditionalFormatting sqref="H33:H37">
    <cfRule type="expression" dxfId="4809" priority="2322">
      <formula>$E33=""</formula>
    </cfRule>
  </conditionalFormatting>
  <conditionalFormatting sqref="H33:H37">
    <cfRule type="expression" dxfId="4808" priority="2321">
      <formula>$C33&lt;$E$3</formula>
    </cfRule>
  </conditionalFormatting>
  <conditionalFormatting sqref="H33:H37">
    <cfRule type="expression" dxfId="4807" priority="2320">
      <formula>$E33=""</formula>
    </cfRule>
  </conditionalFormatting>
  <conditionalFormatting sqref="H33:H37">
    <cfRule type="expression" dxfId="4806" priority="2319">
      <formula>$C33&lt;$E$3</formula>
    </cfRule>
  </conditionalFormatting>
  <conditionalFormatting sqref="H33:H37">
    <cfRule type="expression" dxfId="4805" priority="2318">
      <formula>$E33=""</formula>
    </cfRule>
  </conditionalFormatting>
  <conditionalFormatting sqref="H33:H37">
    <cfRule type="expression" dxfId="4804" priority="2317">
      <formula>$C33&lt;$E$3</formula>
    </cfRule>
  </conditionalFormatting>
  <conditionalFormatting sqref="H33:H37">
    <cfRule type="expression" dxfId="4803" priority="2316">
      <formula>$E33=""</formula>
    </cfRule>
  </conditionalFormatting>
  <conditionalFormatting sqref="K50:K51">
    <cfRule type="expression" dxfId="4802" priority="700">
      <formula>$E50=""</formula>
    </cfRule>
  </conditionalFormatting>
  <conditionalFormatting sqref="K50:K51">
    <cfRule type="expression" dxfId="4801" priority="675">
      <formula>$E50=""</formula>
    </cfRule>
  </conditionalFormatting>
  <conditionalFormatting sqref="K50:K51">
    <cfRule type="expression" dxfId="4800" priority="674">
      <formula>$C50&lt;$E$3</formula>
    </cfRule>
  </conditionalFormatting>
  <conditionalFormatting sqref="K50:K51">
    <cfRule type="expression" dxfId="4799" priority="673">
      <formula>$E50=""</formula>
    </cfRule>
  </conditionalFormatting>
  <conditionalFormatting sqref="K50:K51">
    <cfRule type="expression" dxfId="4798" priority="645">
      <formula>$E50=""</formula>
    </cfRule>
  </conditionalFormatting>
  <conditionalFormatting sqref="K50:K51">
    <cfRule type="expression" dxfId="4797" priority="644">
      <formula>$C50&lt;$E$3</formula>
    </cfRule>
  </conditionalFormatting>
  <conditionalFormatting sqref="K50:K51">
    <cfRule type="expression" dxfId="4796" priority="643">
      <formula>$E50=""</formula>
    </cfRule>
  </conditionalFormatting>
  <conditionalFormatting sqref="K50:K51">
    <cfRule type="expression" dxfId="4795" priority="637">
      <formula>$C50&lt;$E$3</formula>
    </cfRule>
  </conditionalFormatting>
  <conditionalFormatting sqref="V50:W51 V5:W20 V23:W29 V32:W38 V41:W47">
    <cfRule type="cellIs" dxfId="4794" priority="1550" stopIfTrue="1" operator="lessThan">
      <formula>0</formula>
    </cfRule>
  </conditionalFormatting>
  <conditionalFormatting sqref="Q4:Q51 R5:R11 R14:R20 R23:R29 R32:R38 R41:R47 R50:R51 T50:U51 T41:U47 T32:U38 T23:U29 T14:U20 T5:U11">
    <cfRule type="cellIs" dxfId="4793" priority="1551" stopIfTrue="1" operator="lessThan">
      <formula>0</formula>
    </cfRule>
  </conditionalFormatting>
  <conditionalFormatting sqref="N5:N6 N9">
    <cfRule type="cellIs" dxfId="4792" priority="627" stopIfTrue="1" operator="lessThan">
      <formula>0</formula>
    </cfRule>
  </conditionalFormatting>
  <conditionalFormatting sqref="M14:M20 M32:M38 M41:M47 M23:M29">
    <cfRule type="expression" dxfId="4791" priority="589">
      <formula>$C14&lt;$E$3</formula>
    </cfRule>
  </conditionalFormatting>
  <conditionalFormatting sqref="M14:M20 M32:M38 M41:M47 M23:M29">
    <cfRule type="expression" dxfId="4790" priority="587">
      <formula>$C14&lt;$E$3</formula>
    </cfRule>
  </conditionalFormatting>
  <conditionalFormatting sqref="M14:M20 M32:M38 M41:M47 M23:M29">
    <cfRule type="expression" dxfId="4789" priority="559">
      <formula>$C14&lt;$E$3</formula>
    </cfRule>
  </conditionalFormatting>
  <conditionalFormatting sqref="K19">
    <cfRule type="expression" dxfId="4788" priority="519">
      <formula>$C19&lt;$E$3</formula>
    </cfRule>
  </conditionalFormatting>
  <conditionalFormatting sqref="K19">
    <cfRule type="expression" dxfId="4787" priority="517">
      <formula>$C19&lt;$E$3</formula>
    </cfRule>
  </conditionalFormatting>
  <conditionalFormatting sqref="K19">
    <cfRule type="expression" dxfId="4786" priority="489">
      <formula>$C19&lt;$E$3</formula>
    </cfRule>
  </conditionalFormatting>
  <conditionalFormatting sqref="K14:K18">
    <cfRule type="expression" dxfId="4785" priority="487">
      <formula>$C14&lt;$E$3</formula>
    </cfRule>
  </conditionalFormatting>
  <conditionalFormatting sqref="K14:K18">
    <cfRule type="expression" dxfId="4784" priority="459">
      <formula>$C14&lt;$E$3</formula>
    </cfRule>
  </conditionalFormatting>
  <conditionalFormatting sqref="K14:K18">
    <cfRule type="expression" dxfId="4783" priority="457">
      <formula>$C14&lt;$E$3</formula>
    </cfRule>
  </conditionalFormatting>
  <conditionalFormatting sqref="K14:K18">
    <cfRule type="expression" dxfId="4782" priority="429">
      <formula>$C14&lt;$E$3</formula>
    </cfRule>
  </conditionalFormatting>
  <conditionalFormatting sqref="K28">
    <cfRule type="expression" dxfId="4781" priority="382">
      <formula>$C28&lt;$E$3</formula>
    </cfRule>
  </conditionalFormatting>
  <conditionalFormatting sqref="K28">
    <cfRule type="expression" dxfId="4780" priority="380">
      <formula>$C28&lt;$E$3</formula>
    </cfRule>
  </conditionalFormatting>
  <conditionalFormatting sqref="K28">
    <cfRule type="expression" dxfId="4779" priority="352">
      <formula>$C28&lt;$E$3</formula>
    </cfRule>
  </conditionalFormatting>
  <conditionalFormatting sqref="K23:K27">
    <cfRule type="expression" dxfId="4778" priority="350">
      <formula>$C23&lt;$E$3</formula>
    </cfRule>
  </conditionalFormatting>
  <conditionalFormatting sqref="K23:K27">
    <cfRule type="expression" dxfId="4777" priority="322">
      <formula>$C23&lt;$E$3</formula>
    </cfRule>
  </conditionalFormatting>
  <conditionalFormatting sqref="K23:K27">
    <cfRule type="expression" dxfId="4776" priority="320">
      <formula>$C23&lt;$E$3</formula>
    </cfRule>
  </conditionalFormatting>
  <conditionalFormatting sqref="K23:K27">
    <cfRule type="expression" dxfId="4775" priority="292">
      <formula>$C23&lt;$E$3</formula>
    </cfRule>
  </conditionalFormatting>
  <conditionalFormatting sqref="K37">
    <cfRule type="expression" dxfId="4774" priority="245">
      <formula>$C37&lt;$E$3</formula>
    </cfRule>
  </conditionalFormatting>
  <conditionalFormatting sqref="K37">
    <cfRule type="expression" dxfId="4773" priority="243">
      <formula>$C37&lt;$E$3</formula>
    </cfRule>
  </conditionalFormatting>
  <conditionalFormatting sqref="K37">
    <cfRule type="expression" dxfId="4772" priority="215">
      <formula>$C37&lt;$E$3</formula>
    </cfRule>
  </conditionalFormatting>
  <conditionalFormatting sqref="K32:K36">
    <cfRule type="expression" dxfId="4771" priority="213">
      <formula>$C32&lt;$E$3</formula>
    </cfRule>
  </conditionalFormatting>
  <conditionalFormatting sqref="K32:K36">
    <cfRule type="expression" dxfId="4770" priority="185">
      <formula>$C32&lt;$E$3</formula>
    </cfRule>
  </conditionalFormatting>
  <conditionalFormatting sqref="K32:K36">
    <cfRule type="expression" dxfId="4769" priority="183">
      <formula>$C32&lt;$E$3</formula>
    </cfRule>
  </conditionalFormatting>
  <conditionalFormatting sqref="K32:K36">
    <cfRule type="expression" dxfId="4768" priority="155">
      <formula>$C32&lt;$E$3</formula>
    </cfRule>
  </conditionalFormatting>
  <conditionalFormatting sqref="K46">
    <cfRule type="expression" dxfId="4767" priority="108">
      <formula>$C46&lt;$E$3</formula>
    </cfRule>
  </conditionalFormatting>
  <conditionalFormatting sqref="K46">
    <cfRule type="expression" dxfId="4766" priority="106">
      <formula>$C46&lt;$E$3</formula>
    </cfRule>
  </conditionalFormatting>
  <conditionalFormatting sqref="K46">
    <cfRule type="expression" dxfId="4765" priority="78">
      <formula>$C46&lt;$E$3</formula>
    </cfRule>
  </conditionalFormatting>
  <conditionalFormatting sqref="K41:K45">
    <cfRule type="expression" dxfId="4764" priority="76">
      <formula>$C41&lt;$E$3</formula>
    </cfRule>
  </conditionalFormatting>
  <conditionalFormatting sqref="K41:K45">
    <cfRule type="expression" dxfId="4763" priority="48">
      <formula>$C41&lt;$E$3</formula>
    </cfRule>
  </conditionalFormatting>
  <conditionalFormatting sqref="K41:K45">
    <cfRule type="expression" dxfId="4762" priority="46">
      <formula>$C41&lt;$E$3</formula>
    </cfRule>
  </conditionalFormatting>
  <conditionalFormatting sqref="K41:K45">
    <cfRule type="expression" dxfId="4761" priority="18">
      <formula>$C41&lt;$E$3</formula>
    </cfRule>
  </conditionalFormatting>
  <conditionalFormatting sqref="N29">
    <cfRule type="cellIs" dxfId="4760" priority="4" stopIfTrue="1" operator="lessThan">
      <formula>0</formula>
    </cfRule>
  </conditionalFormatting>
  <conditionalFormatting sqref="N25">
    <cfRule type="cellIs" dxfId="4759" priority="3" stopIfTrue="1" operator="lessThan">
      <formula>0</formula>
    </cfRule>
  </conditionalFormatting>
  <conditionalFormatting sqref="N26">
    <cfRule type="cellIs" dxfId="4758" priority="2" stopIfTrue="1" operator="lessThan">
      <formula>0</formula>
    </cfRule>
  </conditionalFormatting>
  <conditionalFormatting sqref="N24">
    <cfRule type="cellIs" dxfId="4757" priority="1" stopIfTrue="1" operator="lessThan">
      <formula>0</formula>
    </cfRule>
  </conditionalFormatting>
  <conditionalFormatting sqref="K5:K11 K50:K51">
    <cfRule type="cellIs" dxfId="4756" priority="922" stopIfTrue="1" operator="lessThan">
      <formula>0</formula>
    </cfRule>
  </conditionalFormatting>
  <conditionalFormatting sqref="K5:K11 K50:K51">
    <cfRule type="expression" dxfId="4755" priority="920">
      <formula>$C5&lt;$E$3</formula>
    </cfRule>
  </conditionalFormatting>
  <conditionalFormatting sqref="K5:K11 K50:K51">
    <cfRule type="expression" dxfId="4754" priority="917">
      <formula>$C5=$E$3</formula>
    </cfRule>
    <cfRule type="expression" dxfId="4753" priority="918">
      <formula>$C5&lt;$E$3</formula>
    </cfRule>
    <cfRule type="cellIs" dxfId="4752" priority="919" operator="equal">
      <formula>0</formula>
    </cfRule>
    <cfRule type="expression" dxfId="4751" priority="921">
      <formula>$C5&gt;$E$3</formula>
    </cfRule>
  </conditionalFormatting>
  <conditionalFormatting sqref="K5:K11 K50:K51">
    <cfRule type="expression" dxfId="4750" priority="916">
      <formula>$E5=""</formula>
    </cfRule>
  </conditionalFormatting>
  <conditionalFormatting sqref="K5:K11 K50:K51">
    <cfRule type="expression" dxfId="4749" priority="915">
      <formula>$E5=""</formula>
    </cfRule>
  </conditionalFormatting>
  <conditionalFormatting sqref="K5:K11 K50:K51">
    <cfRule type="expression" dxfId="4748" priority="914">
      <formula>$E5=""</formula>
    </cfRule>
  </conditionalFormatting>
  <conditionalFormatting sqref="J5:J11 J50:J51 L5:M11 L50:N51">
    <cfRule type="cellIs" dxfId="4747" priority="913" stopIfTrue="1" operator="lessThan">
      <formula>0</formula>
    </cfRule>
  </conditionalFormatting>
  <conditionalFormatting sqref="J5:J11 J50:J51 L5:M11 L50:M51">
    <cfRule type="expression" dxfId="4746" priority="911">
      <formula>$C5&lt;$E$3</formula>
    </cfRule>
  </conditionalFormatting>
  <conditionalFormatting sqref="J5:J11 J50:J51 L5:M11 L50:M51">
    <cfRule type="expression" dxfId="4745" priority="908">
      <formula>$C5=$E$3</formula>
    </cfRule>
    <cfRule type="expression" dxfId="4744" priority="909">
      <formula>$C5&lt;$E$3</formula>
    </cfRule>
    <cfRule type="cellIs" dxfId="4743" priority="910" operator="equal">
      <formula>0</formula>
    </cfRule>
    <cfRule type="expression" dxfId="4742" priority="912">
      <formula>$C5&gt;$E$3</formula>
    </cfRule>
  </conditionalFormatting>
  <conditionalFormatting sqref="J5:J11 J50:J51 L5:M11 L50:M51">
    <cfRule type="expression" dxfId="4741" priority="907">
      <formula>$E5=""</formula>
    </cfRule>
  </conditionalFormatting>
  <conditionalFormatting sqref="J5:J11 J50:J51 L5:M11 L50:M51">
    <cfRule type="expression" dxfId="4740" priority="906">
      <formula>$E5=""</formula>
    </cfRule>
  </conditionalFormatting>
  <conditionalFormatting sqref="J5:J11 J50:J51 L5:M11 L50:M51">
    <cfRule type="expression" dxfId="4739" priority="905">
      <formula>$E5=""</formula>
    </cfRule>
  </conditionalFormatting>
  <conditionalFormatting sqref="M5:M11 M50:M51">
    <cfRule type="expression" dxfId="4738" priority="904">
      <formula>$C5&lt;$E$3</formula>
    </cfRule>
  </conditionalFormatting>
  <conditionalFormatting sqref="M5:M11 M50:M51">
    <cfRule type="expression" dxfId="4737" priority="900">
      <formula>$C5=$E$3</formula>
    </cfRule>
    <cfRule type="expression" dxfId="4736" priority="901">
      <formula>$C5&lt;$E$3</formula>
    </cfRule>
    <cfRule type="cellIs" dxfId="4735" priority="902" operator="equal">
      <formula>0</formula>
    </cfRule>
    <cfRule type="expression" dxfId="4734" priority="903">
      <formula>$C5&gt;$E$3</formula>
    </cfRule>
  </conditionalFormatting>
  <conditionalFormatting sqref="M5:M11 M50:M51">
    <cfRule type="expression" dxfId="4733" priority="899">
      <formula>$C5&lt;$E$3</formula>
    </cfRule>
  </conditionalFormatting>
  <conditionalFormatting sqref="M5:M11 M50:M51">
    <cfRule type="expression" dxfId="4732" priority="895">
      <formula>$C5=$E$3</formula>
    </cfRule>
    <cfRule type="expression" dxfId="4731" priority="896">
      <formula>$C5&lt;$E$3</formula>
    </cfRule>
    <cfRule type="cellIs" dxfId="4730" priority="897" operator="equal">
      <formula>0</formula>
    </cfRule>
    <cfRule type="expression" dxfId="4729" priority="898">
      <formula>$C5&gt;$E$3</formula>
    </cfRule>
  </conditionalFormatting>
  <conditionalFormatting sqref="M5:M11 M50:M51">
    <cfRule type="expression" dxfId="4728" priority="894">
      <formula>$C5&lt;$E$3</formula>
    </cfRule>
  </conditionalFormatting>
  <conditionalFormatting sqref="M5:M11 M50:M51">
    <cfRule type="expression" dxfId="4727" priority="890">
      <formula>$C5=$E$3</formula>
    </cfRule>
    <cfRule type="expression" dxfId="4726" priority="891">
      <formula>$C5&lt;$E$3</formula>
    </cfRule>
    <cfRule type="cellIs" dxfId="4725" priority="892" operator="equal">
      <formula>0</formula>
    </cfRule>
    <cfRule type="expression" dxfId="4724" priority="893">
      <formula>$C5&gt;$E$3</formula>
    </cfRule>
  </conditionalFormatting>
  <conditionalFormatting sqref="M5:M11 M50:M51">
    <cfRule type="expression" dxfId="4723" priority="889">
      <formula>$C5&lt;$E$3</formula>
    </cfRule>
  </conditionalFormatting>
  <conditionalFormatting sqref="M5:M11 M50:M51">
    <cfRule type="expression" dxfId="4722" priority="885">
      <formula>$C5=$E$3</formula>
    </cfRule>
    <cfRule type="expression" dxfId="4721" priority="886">
      <formula>$C5&lt;$E$3</formula>
    </cfRule>
    <cfRule type="cellIs" dxfId="4720" priority="887" operator="equal">
      <formula>0</formula>
    </cfRule>
    <cfRule type="expression" dxfId="4719" priority="888">
      <formula>$C5&gt;$E$3</formula>
    </cfRule>
  </conditionalFormatting>
  <conditionalFormatting sqref="M5:M11 M50:M51">
    <cfRule type="expression" dxfId="4718" priority="884">
      <formula>$E5=""</formula>
    </cfRule>
  </conditionalFormatting>
  <conditionalFormatting sqref="M5:M11 M50:M51">
    <cfRule type="expression" dxfId="4717" priority="883">
      <formula>$C5&lt;$E$3</formula>
    </cfRule>
  </conditionalFormatting>
  <conditionalFormatting sqref="M5:M11 M50:M51">
    <cfRule type="expression" dxfId="4716" priority="882">
      <formula>$E5=""</formula>
    </cfRule>
  </conditionalFormatting>
  <conditionalFormatting sqref="M5:M11 M50:M51">
    <cfRule type="expression" dxfId="4715" priority="881">
      <formula>$E5=""</formula>
    </cfRule>
  </conditionalFormatting>
  <conditionalFormatting sqref="M5:M11 M50:M51">
    <cfRule type="expression" dxfId="4714" priority="880">
      <formula>$C5&lt;$E$3</formula>
    </cfRule>
  </conditionalFormatting>
  <conditionalFormatting sqref="M5:M11 M50:M51">
    <cfRule type="expression" dxfId="4713" priority="879">
      <formula>$E5=""</formula>
    </cfRule>
  </conditionalFormatting>
  <conditionalFormatting sqref="M5:M11 M50:M51">
    <cfRule type="expression" dxfId="4712" priority="878">
      <formula>$C5&lt;$E$3</formula>
    </cfRule>
  </conditionalFormatting>
  <conditionalFormatting sqref="M5:M11 M50:M51">
    <cfRule type="expression" dxfId="4711" priority="877">
      <formula>$E5=""</formula>
    </cfRule>
  </conditionalFormatting>
  <conditionalFormatting sqref="M5:M11 M50:M51">
    <cfRule type="expression" dxfId="4710" priority="876">
      <formula>$C5&lt;$E$3</formula>
    </cfRule>
  </conditionalFormatting>
  <conditionalFormatting sqref="M5:M11 M50:M51">
    <cfRule type="expression" dxfId="4709" priority="875">
      <formula>$E5=""</formula>
    </cfRule>
  </conditionalFormatting>
  <conditionalFormatting sqref="M5:M11 M50:M51">
    <cfRule type="expression" dxfId="4708" priority="874">
      <formula>$C5&lt;$E$3</formula>
    </cfRule>
  </conditionalFormatting>
  <conditionalFormatting sqref="M5:M11 M50:M51">
    <cfRule type="expression" dxfId="4707" priority="870">
      <formula>$C5=$E$3</formula>
    </cfRule>
    <cfRule type="expression" dxfId="4706" priority="871">
      <formula>$C5&lt;$E$3</formula>
    </cfRule>
    <cfRule type="cellIs" dxfId="4705" priority="872" operator="equal">
      <formula>0</formula>
    </cfRule>
    <cfRule type="expression" dxfId="4704" priority="873">
      <formula>$C5&gt;$E$3</formula>
    </cfRule>
  </conditionalFormatting>
  <conditionalFormatting sqref="M5:M11 M50:M51">
    <cfRule type="expression" dxfId="4703" priority="869">
      <formula>$C5&lt;$E$3</formula>
    </cfRule>
  </conditionalFormatting>
  <conditionalFormatting sqref="M5:M11 M50:M51">
    <cfRule type="expression" dxfId="4702" priority="865">
      <formula>$C5=$E$3</formula>
    </cfRule>
    <cfRule type="expression" dxfId="4701" priority="866">
      <formula>$C5&lt;$E$3</formula>
    </cfRule>
    <cfRule type="cellIs" dxfId="4700" priority="867" operator="equal">
      <formula>0</formula>
    </cfRule>
    <cfRule type="expression" dxfId="4699" priority="868">
      <formula>$C5&gt;$E$3</formula>
    </cfRule>
  </conditionalFormatting>
  <conditionalFormatting sqref="M5:M11 M50:M51">
    <cfRule type="expression" dxfId="4698" priority="864">
      <formula>$C5&lt;$E$3</formula>
    </cfRule>
  </conditionalFormatting>
  <conditionalFormatting sqref="M5:M11 M50:M51">
    <cfRule type="expression" dxfId="4697" priority="860">
      <formula>$C5=$E$3</formula>
    </cfRule>
    <cfRule type="expression" dxfId="4696" priority="861">
      <formula>$C5&lt;$E$3</formula>
    </cfRule>
    <cfRule type="cellIs" dxfId="4695" priority="862" operator="equal">
      <formula>0</formula>
    </cfRule>
    <cfRule type="expression" dxfId="4694" priority="863">
      <formula>$C5&gt;$E$3</formula>
    </cfRule>
  </conditionalFormatting>
  <conditionalFormatting sqref="M5:M11 M50:M51">
    <cfRule type="expression" dxfId="4693" priority="859">
      <formula>$C5&lt;$E$3</formula>
    </cfRule>
  </conditionalFormatting>
  <conditionalFormatting sqref="M5:M11 M50:M51">
    <cfRule type="expression" dxfId="4692" priority="855">
      <formula>$C5=$E$3</formula>
    </cfRule>
    <cfRule type="expression" dxfId="4691" priority="856">
      <formula>$C5&lt;$E$3</formula>
    </cfRule>
    <cfRule type="cellIs" dxfId="4690" priority="857" operator="equal">
      <formula>0</formula>
    </cfRule>
    <cfRule type="expression" dxfId="4689" priority="858">
      <formula>$C5&gt;$E$3</formula>
    </cfRule>
  </conditionalFormatting>
  <conditionalFormatting sqref="M5:M11 M50:M51">
    <cfRule type="expression" dxfId="4688" priority="854">
      <formula>$E5=""</formula>
    </cfRule>
  </conditionalFormatting>
  <conditionalFormatting sqref="M5:M11 M50:M51">
    <cfRule type="expression" dxfId="4687" priority="853">
      <formula>$C5&lt;$E$3</formula>
    </cfRule>
  </conditionalFormatting>
  <conditionalFormatting sqref="M5:M11 M50:M51">
    <cfRule type="expression" dxfId="4686" priority="852">
      <formula>$E5=""</formula>
    </cfRule>
  </conditionalFormatting>
  <conditionalFormatting sqref="M5:M11 M50:M51">
    <cfRule type="expression" dxfId="4685" priority="851">
      <formula>$E5=""</formula>
    </cfRule>
  </conditionalFormatting>
  <conditionalFormatting sqref="M5:M11 M50:M51">
    <cfRule type="expression" dxfId="4684" priority="850">
      <formula>$C5&lt;$E$3</formula>
    </cfRule>
  </conditionalFormatting>
  <conditionalFormatting sqref="M5:M11 M50:M51">
    <cfRule type="expression" dxfId="4683" priority="849">
      <formula>$E5=""</formula>
    </cfRule>
  </conditionalFormatting>
  <conditionalFormatting sqref="M5:M11 M50:M51">
    <cfRule type="expression" dxfId="4682" priority="848">
      <formula>$C5&lt;$E$3</formula>
    </cfRule>
  </conditionalFormatting>
  <conditionalFormatting sqref="M5:M11 M50:M51">
    <cfRule type="expression" dxfId="4681" priority="847">
      <formula>$E5=""</formula>
    </cfRule>
  </conditionalFormatting>
  <conditionalFormatting sqref="M5:M11 M50:M51">
    <cfRule type="expression" dxfId="4680" priority="846">
      <formula>$C5&lt;$E$3</formula>
    </cfRule>
  </conditionalFormatting>
  <conditionalFormatting sqref="M5:M11 M50:M51">
    <cfRule type="expression" dxfId="4679" priority="845">
      <formula>$E5=""</formula>
    </cfRule>
  </conditionalFormatting>
  <conditionalFormatting sqref="K10">
    <cfRule type="expression" dxfId="4678" priority="844">
      <formula>$C10&lt;$E$3</formula>
    </cfRule>
  </conditionalFormatting>
  <conditionalFormatting sqref="K10">
    <cfRule type="expression" dxfId="4677" priority="840">
      <formula>$C10=$E$3</formula>
    </cfRule>
    <cfRule type="expression" dxfId="4676" priority="841">
      <formula>$C10&lt;$E$3</formula>
    </cfRule>
    <cfRule type="cellIs" dxfId="4675" priority="842" operator="equal">
      <formula>0</formula>
    </cfRule>
    <cfRule type="expression" dxfId="4674" priority="843">
      <formula>$C10&gt;$E$3</formula>
    </cfRule>
  </conditionalFormatting>
  <conditionalFormatting sqref="K10">
    <cfRule type="expression" dxfId="4673" priority="839">
      <formula>$C10&lt;$E$3</formula>
    </cfRule>
  </conditionalFormatting>
  <conditionalFormatting sqref="K10">
    <cfRule type="expression" dxfId="4672" priority="835">
      <formula>$C10=$E$3</formula>
    </cfRule>
    <cfRule type="expression" dxfId="4671" priority="836">
      <formula>$C10&lt;$E$3</formula>
    </cfRule>
    <cfRule type="cellIs" dxfId="4670" priority="837" operator="equal">
      <formula>0</formula>
    </cfRule>
    <cfRule type="expression" dxfId="4669" priority="838">
      <formula>$C10&gt;$E$3</formula>
    </cfRule>
  </conditionalFormatting>
  <conditionalFormatting sqref="K10">
    <cfRule type="expression" dxfId="4668" priority="834">
      <formula>$C10&lt;$E$3</formula>
    </cfRule>
  </conditionalFormatting>
  <conditionalFormatting sqref="K10">
    <cfRule type="expression" dxfId="4667" priority="830">
      <formula>$C10=$E$3</formula>
    </cfRule>
    <cfRule type="expression" dxfId="4666" priority="831">
      <formula>$C10&lt;$E$3</formula>
    </cfRule>
    <cfRule type="cellIs" dxfId="4665" priority="832" operator="equal">
      <formula>0</formula>
    </cfRule>
    <cfRule type="expression" dxfId="4664" priority="833">
      <formula>$C10&gt;$E$3</formula>
    </cfRule>
  </conditionalFormatting>
  <conditionalFormatting sqref="K10">
    <cfRule type="expression" dxfId="4663" priority="829">
      <formula>$C10&lt;$E$3</formula>
    </cfRule>
  </conditionalFormatting>
  <conditionalFormatting sqref="K10">
    <cfRule type="expression" dxfId="4662" priority="825">
      <formula>$C10=$E$3</formula>
    </cfRule>
    <cfRule type="expression" dxfId="4661" priority="826">
      <formula>$C10&lt;$E$3</formula>
    </cfRule>
    <cfRule type="cellIs" dxfId="4660" priority="827" operator="equal">
      <formula>0</formula>
    </cfRule>
    <cfRule type="expression" dxfId="4659" priority="828">
      <formula>$C10&gt;$E$3</formula>
    </cfRule>
  </conditionalFormatting>
  <conditionalFormatting sqref="K10">
    <cfRule type="expression" dxfId="4658" priority="824">
      <formula>$E10=""</formula>
    </cfRule>
  </conditionalFormatting>
  <conditionalFormatting sqref="K10">
    <cfRule type="expression" dxfId="4657" priority="823">
      <formula>$C10&lt;$E$3</formula>
    </cfRule>
  </conditionalFormatting>
  <conditionalFormatting sqref="K10">
    <cfRule type="expression" dxfId="4656" priority="822">
      <formula>$E10=""</formula>
    </cfRule>
  </conditionalFormatting>
  <conditionalFormatting sqref="K10">
    <cfRule type="expression" dxfId="4655" priority="821">
      <formula>$E10=""</formula>
    </cfRule>
  </conditionalFormatting>
  <conditionalFormatting sqref="K10">
    <cfRule type="expression" dxfId="4654" priority="820">
      <formula>$C10&lt;$E$3</formula>
    </cfRule>
  </conditionalFormatting>
  <conditionalFormatting sqref="K10">
    <cfRule type="expression" dxfId="4653" priority="819">
      <formula>$E10=""</formula>
    </cfRule>
  </conditionalFormatting>
  <conditionalFormatting sqref="K10">
    <cfRule type="expression" dxfId="4652" priority="818">
      <formula>$C10&lt;$E$3</formula>
    </cfRule>
  </conditionalFormatting>
  <conditionalFormatting sqref="K10">
    <cfRule type="expression" dxfId="4651" priority="817">
      <formula>$E10=""</formula>
    </cfRule>
  </conditionalFormatting>
  <conditionalFormatting sqref="K10">
    <cfRule type="expression" dxfId="4650" priority="816">
      <formula>$C10&lt;$E$3</formula>
    </cfRule>
  </conditionalFormatting>
  <conditionalFormatting sqref="K10">
    <cfRule type="expression" dxfId="4649" priority="815">
      <formula>$E10=""</formula>
    </cfRule>
  </conditionalFormatting>
  <conditionalFormatting sqref="K10">
    <cfRule type="expression" dxfId="4648" priority="814">
      <formula>$C10&lt;$E$3</formula>
    </cfRule>
  </conditionalFormatting>
  <conditionalFormatting sqref="K10">
    <cfRule type="expression" dxfId="4647" priority="810">
      <formula>$C10=$E$3</formula>
    </cfRule>
    <cfRule type="expression" dxfId="4646" priority="811">
      <formula>$C10&lt;$E$3</formula>
    </cfRule>
    <cfRule type="cellIs" dxfId="4645" priority="812" operator="equal">
      <formula>0</formula>
    </cfRule>
    <cfRule type="expression" dxfId="4644" priority="813">
      <formula>$C10&gt;$E$3</formula>
    </cfRule>
  </conditionalFormatting>
  <conditionalFormatting sqref="K10">
    <cfRule type="expression" dxfId="4643" priority="809">
      <formula>$C10&lt;$E$3</formula>
    </cfRule>
  </conditionalFormatting>
  <conditionalFormatting sqref="K10">
    <cfRule type="expression" dxfId="4642" priority="805">
      <formula>$C10=$E$3</formula>
    </cfRule>
    <cfRule type="expression" dxfId="4641" priority="806">
      <formula>$C10&lt;$E$3</formula>
    </cfRule>
    <cfRule type="cellIs" dxfId="4640" priority="807" operator="equal">
      <formula>0</formula>
    </cfRule>
    <cfRule type="expression" dxfId="4639" priority="808">
      <formula>$C10&gt;$E$3</formula>
    </cfRule>
  </conditionalFormatting>
  <conditionalFormatting sqref="K10">
    <cfRule type="expression" dxfId="4638" priority="804">
      <formula>$C10&lt;$E$3</formula>
    </cfRule>
  </conditionalFormatting>
  <conditionalFormatting sqref="K10">
    <cfRule type="expression" dxfId="4637" priority="800">
      <formula>$C10=$E$3</formula>
    </cfRule>
    <cfRule type="expression" dxfId="4636" priority="801">
      <formula>$C10&lt;$E$3</formula>
    </cfRule>
    <cfRule type="cellIs" dxfId="4635" priority="802" operator="equal">
      <formula>0</formula>
    </cfRule>
    <cfRule type="expression" dxfId="4634" priority="803">
      <formula>$C10&gt;$E$3</formula>
    </cfRule>
  </conditionalFormatting>
  <conditionalFormatting sqref="K10">
    <cfRule type="expression" dxfId="4633" priority="799">
      <formula>$C10&lt;$E$3</formula>
    </cfRule>
  </conditionalFormatting>
  <conditionalFormatting sqref="K10">
    <cfRule type="expression" dxfId="4632" priority="795">
      <formula>$C10=$E$3</formula>
    </cfRule>
    <cfRule type="expression" dxfId="4631" priority="796">
      <formula>$C10&lt;$E$3</formula>
    </cfRule>
    <cfRule type="cellIs" dxfId="4630" priority="797" operator="equal">
      <formula>0</formula>
    </cfRule>
    <cfRule type="expression" dxfId="4629" priority="798">
      <formula>$C10&gt;$E$3</formula>
    </cfRule>
  </conditionalFormatting>
  <conditionalFormatting sqref="K10">
    <cfRule type="expression" dxfId="4628" priority="794">
      <formula>$E10=""</formula>
    </cfRule>
  </conditionalFormatting>
  <conditionalFormatting sqref="K10">
    <cfRule type="expression" dxfId="4627" priority="793">
      <formula>$C10&lt;$E$3</formula>
    </cfRule>
  </conditionalFormatting>
  <conditionalFormatting sqref="K10">
    <cfRule type="expression" dxfId="4626" priority="792">
      <formula>$E10=""</formula>
    </cfRule>
  </conditionalFormatting>
  <conditionalFormatting sqref="K10">
    <cfRule type="expression" dxfId="4625" priority="791">
      <formula>$E10=""</formula>
    </cfRule>
  </conditionalFormatting>
  <conditionalFormatting sqref="K10">
    <cfRule type="expression" dxfId="4624" priority="790">
      <formula>$C10&lt;$E$3</formula>
    </cfRule>
  </conditionalFormatting>
  <conditionalFormatting sqref="K10">
    <cfRule type="expression" dxfId="4623" priority="789">
      <formula>$E10=""</formula>
    </cfRule>
  </conditionalFormatting>
  <conditionalFormatting sqref="K10">
    <cfRule type="expression" dxfId="4622" priority="788">
      <formula>$C10&lt;$E$3</formula>
    </cfRule>
  </conditionalFormatting>
  <conditionalFormatting sqref="K10">
    <cfRule type="expression" dxfId="4621" priority="787">
      <formula>$E10=""</formula>
    </cfRule>
  </conditionalFormatting>
  <conditionalFormatting sqref="K10">
    <cfRule type="expression" dxfId="4620" priority="786">
      <formula>$C10&lt;$E$3</formula>
    </cfRule>
  </conditionalFormatting>
  <conditionalFormatting sqref="K10">
    <cfRule type="expression" dxfId="4619" priority="785">
      <formula>$E10=""</formula>
    </cfRule>
  </conditionalFormatting>
  <conditionalFormatting sqref="K5:K9">
    <cfRule type="expression" dxfId="4618" priority="784">
      <formula>$C5&lt;$E$3</formula>
    </cfRule>
  </conditionalFormatting>
  <conditionalFormatting sqref="K5:K9">
    <cfRule type="expression" dxfId="4617" priority="780">
      <formula>$C5=$E$3</formula>
    </cfRule>
    <cfRule type="expression" dxfId="4616" priority="781">
      <formula>$C5&lt;$E$3</formula>
    </cfRule>
    <cfRule type="cellIs" dxfId="4615" priority="782" operator="equal">
      <formula>0</formula>
    </cfRule>
    <cfRule type="expression" dxfId="4614" priority="783">
      <formula>$C5&gt;$E$3</formula>
    </cfRule>
  </conditionalFormatting>
  <conditionalFormatting sqref="K5:K9">
    <cfRule type="expression" dxfId="4613" priority="779">
      <formula>$C5&lt;$E$3</formula>
    </cfRule>
  </conditionalFormatting>
  <conditionalFormatting sqref="K5:K9">
    <cfRule type="expression" dxfId="4612" priority="775">
      <formula>$C5=$E$3</formula>
    </cfRule>
    <cfRule type="expression" dxfId="4611" priority="776">
      <formula>$C5&lt;$E$3</formula>
    </cfRule>
    <cfRule type="cellIs" dxfId="4610" priority="777" operator="equal">
      <formula>0</formula>
    </cfRule>
    <cfRule type="expression" dxfId="4609" priority="778">
      <formula>$C5&gt;$E$3</formula>
    </cfRule>
  </conditionalFormatting>
  <conditionalFormatting sqref="K5:K9">
    <cfRule type="expression" dxfId="4608" priority="774">
      <formula>$C5&lt;$E$3</formula>
    </cfRule>
  </conditionalFormatting>
  <conditionalFormatting sqref="K5:K9">
    <cfRule type="expression" dxfId="4607" priority="770">
      <formula>$C5=$E$3</formula>
    </cfRule>
    <cfRule type="expression" dxfId="4606" priority="771">
      <formula>$C5&lt;$E$3</formula>
    </cfRule>
    <cfRule type="cellIs" dxfId="4605" priority="772" operator="equal">
      <formula>0</formula>
    </cfRule>
    <cfRule type="expression" dxfId="4604" priority="773">
      <formula>$C5&gt;$E$3</formula>
    </cfRule>
  </conditionalFormatting>
  <conditionalFormatting sqref="K5:K9">
    <cfRule type="expression" dxfId="4603" priority="769">
      <formula>$C5&lt;$E$3</formula>
    </cfRule>
  </conditionalFormatting>
  <conditionalFormatting sqref="K5:K9">
    <cfRule type="expression" dxfId="4602" priority="765">
      <formula>$C5=$E$3</formula>
    </cfRule>
    <cfRule type="expression" dxfId="4601" priority="766">
      <formula>$C5&lt;$E$3</formula>
    </cfRule>
    <cfRule type="cellIs" dxfId="4600" priority="767" operator="equal">
      <formula>0</formula>
    </cfRule>
    <cfRule type="expression" dxfId="4599" priority="768">
      <formula>$C5&gt;$E$3</formula>
    </cfRule>
  </conditionalFormatting>
  <conditionalFormatting sqref="K5:K9">
    <cfRule type="expression" dxfId="4598" priority="764">
      <formula>$E5=""</formula>
    </cfRule>
  </conditionalFormatting>
  <conditionalFormatting sqref="K5:K9">
    <cfRule type="expression" dxfId="4597" priority="763">
      <formula>$C5&lt;$E$3</formula>
    </cfRule>
  </conditionalFormatting>
  <conditionalFormatting sqref="K5:K9">
    <cfRule type="expression" dxfId="4596" priority="762">
      <formula>$E5=""</formula>
    </cfRule>
  </conditionalFormatting>
  <conditionalFormatting sqref="K5:K9">
    <cfRule type="expression" dxfId="4595" priority="761">
      <formula>$E5=""</formula>
    </cfRule>
  </conditionalFormatting>
  <conditionalFormatting sqref="K5:K9">
    <cfRule type="expression" dxfId="4594" priority="760">
      <formula>$C5&lt;$E$3</formula>
    </cfRule>
  </conditionalFormatting>
  <conditionalFormatting sqref="K5:K9">
    <cfRule type="expression" dxfId="4593" priority="759">
      <formula>$E5=""</formula>
    </cfRule>
  </conditionalFormatting>
  <conditionalFormatting sqref="K5:K9">
    <cfRule type="expression" dxfId="4592" priority="758">
      <formula>$C5&lt;$E$3</formula>
    </cfRule>
  </conditionalFormatting>
  <conditionalFormatting sqref="K5:K9">
    <cfRule type="expression" dxfId="4591" priority="757">
      <formula>$E5=""</formula>
    </cfRule>
  </conditionalFormatting>
  <conditionalFormatting sqref="K5:K9">
    <cfRule type="expression" dxfId="4590" priority="756">
      <formula>$C5&lt;$E$3</formula>
    </cfRule>
  </conditionalFormatting>
  <conditionalFormatting sqref="K5:K9">
    <cfRule type="expression" dxfId="4589" priority="755">
      <formula>$E5=""</formula>
    </cfRule>
  </conditionalFormatting>
  <conditionalFormatting sqref="K5:K9">
    <cfRule type="expression" dxfId="4588" priority="754">
      <formula>$C5&lt;$E$3</formula>
    </cfRule>
  </conditionalFormatting>
  <conditionalFormatting sqref="K5:K9">
    <cfRule type="expression" dxfId="4587" priority="750">
      <formula>$C5=$E$3</formula>
    </cfRule>
    <cfRule type="expression" dxfId="4586" priority="751">
      <formula>$C5&lt;$E$3</formula>
    </cfRule>
    <cfRule type="cellIs" dxfId="4585" priority="752" operator="equal">
      <formula>0</formula>
    </cfRule>
    <cfRule type="expression" dxfId="4584" priority="753">
      <formula>$C5&gt;$E$3</formula>
    </cfRule>
  </conditionalFormatting>
  <conditionalFormatting sqref="K5:K9">
    <cfRule type="expression" dxfId="4583" priority="749">
      <formula>$C5&lt;$E$3</formula>
    </cfRule>
  </conditionalFormatting>
  <conditionalFormatting sqref="K5:K9">
    <cfRule type="expression" dxfId="4582" priority="745">
      <formula>$C5=$E$3</formula>
    </cfRule>
    <cfRule type="expression" dxfId="4581" priority="746">
      <formula>$C5&lt;$E$3</formula>
    </cfRule>
    <cfRule type="cellIs" dxfId="4580" priority="747" operator="equal">
      <formula>0</formula>
    </cfRule>
    <cfRule type="expression" dxfId="4579" priority="748">
      <formula>$C5&gt;$E$3</formula>
    </cfRule>
  </conditionalFormatting>
  <conditionalFormatting sqref="K5:K9">
    <cfRule type="expression" dxfId="4578" priority="744">
      <formula>$C5&lt;$E$3</formula>
    </cfRule>
  </conditionalFormatting>
  <conditionalFormatting sqref="K5:K9">
    <cfRule type="expression" dxfId="4577" priority="740">
      <formula>$C5=$E$3</formula>
    </cfRule>
    <cfRule type="expression" dxfId="4576" priority="741">
      <formula>$C5&lt;$E$3</formula>
    </cfRule>
    <cfRule type="cellIs" dxfId="4575" priority="742" operator="equal">
      <formula>0</formula>
    </cfRule>
    <cfRule type="expression" dxfId="4574" priority="743">
      <formula>$C5&gt;$E$3</formula>
    </cfRule>
  </conditionalFormatting>
  <conditionalFormatting sqref="K5:K9">
    <cfRule type="expression" dxfId="4573" priority="739">
      <formula>$C5&lt;$E$3</formula>
    </cfRule>
  </conditionalFormatting>
  <conditionalFormatting sqref="K5:K9">
    <cfRule type="expression" dxfId="4572" priority="735">
      <formula>$C5=$E$3</formula>
    </cfRule>
    <cfRule type="expression" dxfId="4571" priority="736">
      <formula>$C5&lt;$E$3</formula>
    </cfRule>
    <cfRule type="cellIs" dxfId="4570" priority="737" operator="equal">
      <formula>0</formula>
    </cfRule>
    <cfRule type="expression" dxfId="4569" priority="738">
      <formula>$C5&gt;$E$3</formula>
    </cfRule>
  </conditionalFormatting>
  <conditionalFormatting sqref="K5:K9">
    <cfRule type="expression" dxfId="4568" priority="734">
      <formula>$E5=""</formula>
    </cfRule>
  </conditionalFormatting>
  <conditionalFormatting sqref="K5:K9">
    <cfRule type="expression" dxfId="4567" priority="733">
      <formula>$C5&lt;$E$3</formula>
    </cfRule>
  </conditionalFormatting>
  <conditionalFormatting sqref="K5:K9">
    <cfRule type="expression" dxfId="4566" priority="732">
      <formula>$E5=""</formula>
    </cfRule>
  </conditionalFormatting>
  <conditionalFormatting sqref="K5:K9">
    <cfRule type="expression" dxfId="4565" priority="731">
      <formula>$E5=""</formula>
    </cfRule>
  </conditionalFormatting>
  <conditionalFormatting sqref="K5:K9">
    <cfRule type="expression" dxfId="4564" priority="730">
      <formula>$C5&lt;$E$3</formula>
    </cfRule>
  </conditionalFormatting>
  <conditionalFormatting sqref="K5:K9">
    <cfRule type="expression" dxfId="4563" priority="729">
      <formula>$E5=""</formula>
    </cfRule>
  </conditionalFormatting>
  <conditionalFormatting sqref="K5:K9">
    <cfRule type="expression" dxfId="4562" priority="728">
      <formula>$C5&lt;$E$3</formula>
    </cfRule>
  </conditionalFormatting>
  <conditionalFormatting sqref="K5:K9">
    <cfRule type="expression" dxfId="4561" priority="727">
      <formula>$E5=""</formula>
    </cfRule>
  </conditionalFormatting>
  <conditionalFormatting sqref="K5:K9">
    <cfRule type="expression" dxfId="4560" priority="726">
      <formula>$C5&lt;$E$3</formula>
    </cfRule>
  </conditionalFormatting>
  <conditionalFormatting sqref="K5:K9">
    <cfRule type="expression" dxfId="4559" priority="725">
      <formula>$E5=""</formula>
    </cfRule>
  </conditionalFormatting>
  <conditionalFormatting sqref="K5:K11">
    <cfRule type="expression" dxfId="4558" priority="723">
      <formula>$C5&lt;$E$3</formula>
    </cfRule>
  </conditionalFormatting>
  <conditionalFormatting sqref="K5:K11">
    <cfRule type="expression" dxfId="4557" priority="720">
      <formula>$C5=$E$3</formula>
    </cfRule>
    <cfRule type="expression" dxfId="4556" priority="721">
      <formula>$C5&lt;$E$3</formula>
    </cfRule>
    <cfRule type="cellIs" dxfId="4555" priority="722" operator="equal">
      <formula>0</formula>
    </cfRule>
    <cfRule type="expression" dxfId="4554" priority="724">
      <formula>$C5&gt;$E$3</formula>
    </cfRule>
  </conditionalFormatting>
  <conditionalFormatting sqref="K5:K11">
    <cfRule type="expression" dxfId="4553" priority="719">
      <formula>$E5=""</formula>
    </cfRule>
  </conditionalFormatting>
  <conditionalFormatting sqref="K5:K11">
    <cfRule type="expression" dxfId="4552" priority="718">
      <formula>$E5=""</formula>
    </cfRule>
  </conditionalFormatting>
  <conditionalFormatting sqref="K5:K11">
    <cfRule type="expression" dxfId="4551" priority="717">
      <formula>$E5=""</formula>
    </cfRule>
  </conditionalFormatting>
  <conditionalFormatting sqref="K50:K51">
    <cfRule type="expression" dxfId="4550" priority="715">
      <formula>$C50&lt;$E$3</formula>
    </cfRule>
  </conditionalFormatting>
  <conditionalFormatting sqref="K50:K51">
    <cfRule type="expression" dxfId="4549" priority="712">
      <formula>$C50=$E$3</formula>
    </cfRule>
    <cfRule type="expression" dxfId="4548" priority="713">
      <formula>$C50&lt;$E$3</formula>
    </cfRule>
    <cfRule type="cellIs" dxfId="4547" priority="714" operator="equal">
      <formula>0</formula>
    </cfRule>
    <cfRule type="expression" dxfId="4546" priority="716">
      <formula>$C50&gt;$E$3</formula>
    </cfRule>
  </conditionalFormatting>
  <conditionalFormatting sqref="K50:K51">
    <cfRule type="expression" dxfId="4545" priority="711">
      <formula>$E50=""</formula>
    </cfRule>
  </conditionalFormatting>
  <conditionalFormatting sqref="K50:K51">
    <cfRule type="expression" dxfId="4544" priority="710">
      <formula>$E50=""</formula>
    </cfRule>
  </conditionalFormatting>
  <conditionalFormatting sqref="K50:K51">
    <cfRule type="expression" dxfId="4543" priority="709">
      <formula>$E50=""</formula>
    </cfRule>
  </conditionalFormatting>
  <conditionalFormatting sqref="K50:K51">
    <cfRule type="cellIs" dxfId="4542" priority="708" stopIfTrue="1" operator="lessThan">
      <formula>0</formula>
    </cfRule>
  </conditionalFormatting>
  <conditionalFormatting sqref="K50:K51">
    <cfRule type="expression" dxfId="4541" priority="706">
      <formula>$C50&lt;$E$3</formula>
    </cfRule>
  </conditionalFormatting>
  <conditionalFormatting sqref="K50:K51">
    <cfRule type="expression" dxfId="4540" priority="703">
      <formula>$C50=$E$3</formula>
    </cfRule>
    <cfRule type="expression" dxfId="4539" priority="704">
      <formula>$C50&lt;$E$3</formula>
    </cfRule>
    <cfRule type="cellIs" dxfId="4538" priority="705" operator="equal">
      <formula>0</formula>
    </cfRule>
    <cfRule type="expression" dxfId="4537" priority="707">
      <formula>$C50&gt;$E$3</formula>
    </cfRule>
  </conditionalFormatting>
  <conditionalFormatting sqref="K50:K51">
    <cfRule type="expression" dxfId="4536" priority="702">
      <formula>$E50=""</formula>
    </cfRule>
  </conditionalFormatting>
  <conditionalFormatting sqref="K50:K51">
    <cfRule type="expression" dxfId="4535" priority="701">
      <formula>$E50=""</formula>
    </cfRule>
  </conditionalFormatting>
  <conditionalFormatting sqref="K50:K51">
    <cfRule type="cellIs" dxfId="4534" priority="699" stopIfTrue="1" operator="lessThan">
      <formula>0</formula>
    </cfRule>
  </conditionalFormatting>
  <conditionalFormatting sqref="K50:K51">
    <cfRule type="cellIs" dxfId="4533" priority="698" stopIfTrue="1" operator="lessThan">
      <formula>0</formula>
    </cfRule>
  </conditionalFormatting>
  <conditionalFormatting sqref="K50:K51">
    <cfRule type="cellIs" dxfId="4532" priority="697" stopIfTrue="1" operator="lessThan">
      <formula>0</formula>
    </cfRule>
  </conditionalFormatting>
  <conditionalFormatting sqref="K50:K51">
    <cfRule type="cellIs" dxfId="4531" priority="696" stopIfTrue="1" operator="lessThan">
      <formula>0</formula>
    </cfRule>
  </conditionalFormatting>
  <conditionalFormatting sqref="K50:K51">
    <cfRule type="expression" dxfId="4530" priority="695">
      <formula>$C50&lt;$E$3</formula>
    </cfRule>
  </conditionalFormatting>
  <conditionalFormatting sqref="K50:K51">
    <cfRule type="expression" dxfId="4529" priority="691">
      <formula>$C50=$E$3</formula>
    </cfRule>
    <cfRule type="expression" dxfId="4528" priority="692">
      <formula>$C50&lt;$E$3</formula>
    </cfRule>
    <cfRule type="cellIs" dxfId="4527" priority="693" operator="equal">
      <formula>0</formula>
    </cfRule>
    <cfRule type="expression" dxfId="4526" priority="694">
      <formula>$C50&gt;$E$3</formula>
    </cfRule>
  </conditionalFormatting>
  <conditionalFormatting sqref="K50:K51">
    <cfRule type="expression" dxfId="4525" priority="690">
      <formula>$C50&lt;$E$3</formula>
    </cfRule>
  </conditionalFormatting>
  <conditionalFormatting sqref="K50:K51">
    <cfRule type="expression" dxfId="4524" priority="686">
      <formula>$C50=$E$3</formula>
    </cfRule>
    <cfRule type="expression" dxfId="4523" priority="687">
      <formula>$C50&lt;$E$3</formula>
    </cfRule>
    <cfRule type="cellIs" dxfId="4522" priority="688" operator="equal">
      <formula>0</formula>
    </cfRule>
    <cfRule type="expression" dxfId="4521" priority="689">
      <formula>$C50&gt;$E$3</formula>
    </cfRule>
  </conditionalFormatting>
  <conditionalFormatting sqref="K50:K51">
    <cfRule type="expression" dxfId="4520" priority="685">
      <formula>$C50&lt;$E$3</formula>
    </cfRule>
  </conditionalFormatting>
  <conditionalFormatting sqref="K50:K51">
    <cfRule type="expression" dxfId="4519" priority="681">
      <formula>$C50=$E$3</formula>
    </cfRule>
    <cfRule type="expression" dxfId="4518" priority="682">
      <formula>$C50&lt;$E$3</formula>
    </cfRule>
    <cfRule type="cellIs" dxfId="4517" priority="683" operator="equal">
      <formula>0</formula>
    </cfRule>
    <cfRule type="expression" dxfId="4516" priority="684">
      <formula>$C50&gt;$E$3</formula>
    </cfRule>
  </conditionalFormatting>
  <conditionalFormatting sqref="K50:K51">
    <cfRule type="expression" dxfId="4515" priority="680">
      <formula>$C50&lt;$E$3</formula>
    </cfRule>
  </conditionalFormatting>
  <conditionalFormatting sqref="K50:K51">
    <cfRule type="expression" dxfId="4514" priority="676">
      <formula>$C50=$E$3</formula>
    </cfRule>
    <cfRule type="expression" dxfId="4513" priority="677">
      <formula>$C50&lt;$E$3</formula>
    </cfRule>
    <cfRule type="cellIs" dxfId="4512" priority="678" operator="equal">
      <formula>0</formula>
    </cfRule>
    <cfRule type="expression" dxfId="4511" priority="679">
      <formula>$C50&gt;$E$3</formula>
    </cfRule>
  </conditionalFormatting>
  <conditionalFormatting sqref="K50:K51">
    <cfRule type="expression" dxfId="4510" priority="672">
      <formula>$E50=""</formula>
    </cfRule>
  </conditionalFormatting>
  <conditionalFormatting sqref="K50:K51">
    <cfRule type="expression" dxfId="4509" priority="671">
      <formula>$C50&lt;$E$3</formula>
    </cfRule>
  </conditionalFormatting>
  <conditionalFormatting sqref="K50:K51">
    <cfRule type="expression" dxfId="4508" priority="670">
      <formula>$E50=""</formula>
    </cfRule>
  </conditionalFormatting>
  <conditionalFormatting sqref="K50:K51">
    <cfRule type="expression" dxfId="4507" priority="669">
      <formula>$C50&lt;$E$3</formula>
    </cfRule>
  </conditionalFormatting>
  <conditionalFormatting sqref="K50:K51">
    <cfRule type="expression" dxfId="4506" priority="668">
      <formula>$E50=""</formula>
    </cfRule>
  </conditionalFormatting>
  <conditionalFormatting sqref="K50:K51">
    <cfRule type="expression" dxfId="4505" priority="667">
      <formula>$C50&lt;$E$3</formula>
    </cfRule>
  </conditionalFormatting>
  <conditionalFormatting sqref="K50:K51">
    <cfRule type="expression" dxfId="4504" priority="666">
      <formula>$E50=""</formula>
    </cfRule>
  </conditionalFormatting>
  <conditionalFormatting sqref="K50:K51">
    <cfRule type="expression" dxfId="4503" priority="665">
      <formula>$C50&lt;$E$3</formula>
    </cfRule>
  </conditionalFormatting>
  <conditionalFormatting sqref="K50:K51">
    <cfRule type="expression" dxfId="4502" priority="661">
      <formula>$C50=$E$3</formula>
    </cfRule>
    <cfRule type="expression" dxfId="4501" priority="662">
      <formula>$C50&lt;$E$3</formula>
    </cfRule>
    <cfRule type="cellIs" dxfId="4500" priority="663" operator="equal">
      <formula>0</formula>
    </cfRule>
    <cfRule type="expression" dxfId="4499" priority="664">
      <formula>$C50&gt;$E$3</formula>
    </cfRule>
  </conditionalFormatting>
  <conditionalFormatting sqref="K50:K51">
    <cfRule type="expression" dxfId="4498" priority="660">
      <formula>$C50&lt;$E$3</formula>
    </cfRule>
  </conditionalFormatting>
  <conditionalFormatting sqref="K50:K51">
    <cfRule type="expression" dxfId="4497" priority="656">
      <formula>$C50=$E$3</formula>
    </cfRule>
    <cfRule type="expression" dxfId="4496" priority="657">
      <formula>$C50&lt;$E$3</formula>
    </cfRule>
    <cfRule type="cellIs" dxfId="4495" priority="658" operator="equal">
      <formula>0</formula>
    </cfRule>
    <cfRule type="expression" dxfId="4494" priority="659">
      <formula>$C50&gt;$E$3</formula>
    </cfRule>
  </conditionalFormatting>
  <conditionalFormatting sqref="K50:K51">
    <cfRule type="expression" dxfId="4493" priority="655">
      <formula>$C50&lt;$E$3</formula>
    </cfRule>
  </conditionalFormatting>
  <conditionalFormatting sqref="K50:K51">
    <cfRule type="expression" dxfId="4492" priority="651">
      <formula>$C50=$E$3</formula>
    </cfRule>
    <cfRule type="expression" dxfId="4491" priority="652">
      <formula>$C50&lt;$E$3</formula>
    </cfRule>
    <cfRule type="cellIs" dxfId="4490" priority="653" operator="equal">
      <formula>0</formula>
    </cfRule>
    <cfRule type="expression" dxfId="4489" priority="654">
      <formula>$C50&gt;$E$3</formula>
    </cfRule>
  </conditionalFormatting>
  <conditionalFormatting sqref="K50:K51">
    <cfRule type="expression" dxfId="4488" priority="650">
      <formula>$C50&lt;$E$3</formula>
    </cfRule>
  </conditionalFormatting>
  <conditionalFormatting sqref="K50:K51">
    <cfRule type="expression" dxfId="4487" priority="646">
      <formula>$C50=$E$3</formula>
    </cfRule>
    <cfRule type="expression" dxfId="4486" priority="647">
      <formula>$C50&lt;$E$3</formula>
    </cfRule>
    <cfRule type="cellIs" dxfId="4485" priority="648" operator="equal">
      <formula>0</formula>
    </cfRule>
    <cfRule type="expression" dxfId="4484" priority="649">
      <formula>$C50&gt;$E$3</formula>
    </cfRule>
  </conditionalFormatting>
  <conditionalFormatting sqref="K50:K51">
    <cfRule type="expression" dxfId="4483" priority="642">
      <formula>$E50=""</formula>
    </cfRule>
  </conditionalFormatting>
  <conditionalFormatting sqref="K50:K51">
    <cfRule type="expression" dxfId="4482" priority="641">
      <formula>$C50&lt;$E$3</formula>
    </cfRule>
  </conditionalFormatting>
  <conditionalFormatting sqref="K50:K51">
    <cfRule type="expression" dxfId="4481" priority="640">
      <formula>$E50=""</formula>
    </cfRule>
  </conditionalFormatting>
  <conditionalFormatting sqref="K50:K51">
    <cfRule type="expression" dxfId="4480" priority="639">
      <formula>$C50&lt;$E$3</formula>
    </cfRule>
  </conditionalFormatting>
  <conditionalFormatting sqref="K50:K51">
    <cfRule type="expression" dxfId="4479" priority="638">
      <formula>$E50=""</formula>
    </cfRule>
  </conditionalFormatting>
  <conditionalFormatting sqref="K50:K51">
    <cfRule type="expression" dxfId="4478" priority="636">
      <formula>$E50=""</formula>
    </cfRule>
  </conditionalFormatting>
  <conditionalFormatting sqref="K50:K51">
    <cfRule type="expression" dxfId="4477" priority="634">
      <formula>$C50&lt;$E$3</formula>
    </cfRule>
  </conditionalFormatting>
  <conditionalFormatting sqref="K50:K51">
    <cfRule type="expression" dxfId="4476" priority="631">
      <formula>$C50=$E$3</formula>
    </cfRule>
    <cfRule type="expression" dxfId="4475" priority="632">
      <formula>$C50&lt;$E$3</formula>
    </cfRule>
    <cfRule type="cellIs" dxfId="4474" priority="633" operator="equal">
      <formula>0</formula>
    </cfRule>
    <cfRule type="expression" dxfId="4473" priority="635">
      <formula>$C50&gt;$E$3</formula>
    </cfRule>
  </conditionalFormatting>
  <conditionalFormatting sqref="K50:K51">
    <cfRule type="expression" dxfId="4472" priority="630">
      <formula>$E50=""</formula>
    </cfRule>
  </conditionalFormatting>
  <conditionalFormatting sqref="K50:K51">
    <cfRule type="expression" dxfId="4471" priority="629">
      <formula>$E50=""</formula>
    </cfRule>
  </conditionalFormatting>
  <conditionalFormatting sqref="K50:K51">
    <cfRule type="expression" dxfId="4470" priority="628">
      <formula>$E50=""</formula>
    </cfRule>
  </conditionalFormatting>
  <conditionalFormatting sqref="J14:J20 L14:M20 J41:J47 L32:M38 L41:M47 J23:J29 J32:J38 L23:M29">
    <cfRule type="cellIs" dxfId="4469" priority="626" stopIfTrue="1" operator="lessThan">
      <formula>0</formula>
    </cfRule>
  </conditionalFormatting>
  <conditionalFormatting sqref="J14:J20 J41:J47 L14:M20 L32:M38 L41:M47 J23:J29 J32:J38 L23:M29">
    <cfRule type="expression" dxfId="4468" priority="624">
      <formula>$C14&lt;$E$3</formula>
    </cfRule>
  </conditionalFormatting>
  <conditionalFormatting sqref="J14:J20 J41:J47 L14:M20 L32:M38 L41:M47 J23:J29 J32:J38 L23:M29">
    <cfRule type="expression" dxfId="4467" priority="621">
      <formula>$C14=$E$3</formula>
    </cfRule>
    <cfRule type="expression" dxfId="4466" priority="622">
      <formula>$C14&lt;$E$3</formula>
    </cfRule>
    <cfRule type="cellIs" dxfId="4465" priority="623" operator="equal">
      <formula>0</formula>
    </cfRule>
    <cfRule type="expression" dxfId="4464" priority="625">
      <formula>$C14&gt;$E$3</formula>
    </cfRule>
  </conditionalFormatting>
  <conditionalFormatting sqref="J14:J20 J41:J47 L14:M20 L32:M38 L41:M47 J23:J29 J32:J38 L23:M29">
    <cfRule type="expression" dxfId="4463" priority="620">
      <formula>$E14=""</formula>
    </cfRule>
  </conditionalFormatting>
  <conditionalFormatting sqref="J41:J47 J14:J20 L14:M20 L32:M38 L41:M47 J23:J29 J32:J38 L23:M29">
    <cfRule type="expression" dxfId="4462" priority="619">
      <formula>$E14=""</formula>
    </cfRule>
  </conditionalFormatting>
  <conditionalFormatting sqref="J41:J47 J14:J20 L14:M20 L32:M38 L41:M47 J23:J29 J32:J38 L23:M29">
    <cfRule type="expression" dxfId="4461" priority="618">
      <formula>$E14=""</formula>
    </cfRule>
  </conditionalFormatting>
  <conditionalFormatting sqref="M14:M20 M32:M38 M41:M47 M23:M29">
    <cfRule type="expression" dxfId="4460" priority="617">
      <formula>$C14&lt;$E$3</formula>
    </cfRule>
  </conditionalFormatting>
  <conditionalFormatting sqref="M14:M20 M32:M38 M41:M47 M23:M29">
    <cfRule type="expression" dxfId="4459" priority="613">
      <formula>$C14=$E$3</formula>
    </cfRule>
    <cfRule type="expression" dxfId="4458" priority="614">
      <formula>$C14&lt;$E$3</formula>
    </cfRule>
    <cfRule type="cellIs" dxfId="4457" priority="615" operator="equal">
      <formula>0</formula>
    </cfRule>
    <cfRule type="expression" dxfId="4456" priority="616">
      <formula>$C14&gt;$E$3</formula>
    </cfRule>
  </conditionalFormatting>
  <conditionalFormatting sqref="M14:M20 M32:M38 M41:M47 M23:M29">
    <cfRule type="expression" dxfId="4455" priority="612">
      <formula>$C14&lt;$E$3</formula>
    </cfRule>
  </conditionalFormatting>
  <conditionalFormatting sqref="M14:M20 M32:M38 M41:M47 M23:M29">
    <cfRule type="expression" dxfId="4454" priority="608">
      <formula>$C14=$E$3</formula>
    </cfRule>
    <cfRule type="expression" dxfId="4453" priority="609">
      <formula>$C14&lt;$E$3</formula>
    </cfRule>
    <cfRule type="cellIs" dxfId="4452" priority="610" operator="equal">
      <formula>0</formula>
    </cfRule>
    <cfRule type="expression" dxfId="4451" priority="611">
      <formula>$C14&gt;$E$3</formula>
    </cfRule>
  </conditionalFormatting>
  <conditionalFormatting sqref="M14:M20 M32:M38 M41:M47 M23:M29">
    <cfRule type="expression" dxfId="4450" priority="607">
      <formula>$C14&lt;$E$3</formula>
    </cfRule>
  </conditionalFormatting>
  <conditionalFormatting sqref="M14:M20 M32:M38 M41:M47 M23:M29">
    <cfRule type="expression" dxfId="4449" priority="603">
      <formula>$C14=$E$3</formula>
    </cfRule>
    <cfRule type="expression" dxfId="4448" priority="604">
      <formula>$C14&lt;$E$3</formula>
    </cfRule>
    <cfRule type="cellIs" dxfId="4447" priority="605" operator="equal">
      <formula>0</formula>
    </cfRule>
    <cfRule type="expression" dxfId="4446" priority="606">
      <formula>$C14&gt;$E$3</formula>
    </cfRule>
  </conditionalFormatting>
  <conditionalFormatting sqref="M14:M20 M32:M38 M41:M47 M23:M29">
    <cfRule type="expression" dxfId="4445" priority="602">
      <formula>$C14&lt;$E$3</formula>
    </cfRule>
  </conditionalFormatting>
  <conditionalFormatting sqref="M14:M20 M32:M38 M41:M47 M23:M29">
    <cfRule type="expression" dxfId="4444" priority="598">
      <formula>$C14=$E$3</formula>
    </cfRule>
    <cfRule type="expression" dxfId="4443" priority="599">
      <formula>$C14&lt;$E$3</formula>
    </cfRule>
    <cfRule type="cellIs" dxfId="4442" priority="600" operator="equal">
      <formula>0</formula>
    </cfRule>
    <cfRule type="expression" dxfId="4441" priority="601">
      <formula>$C14&gt;$E$3</formula>
    </cfRule>
  </conditionalFormatting>
  <conditionalFormatting sqref="M14:M20 M32:M38 M41:M47 M23:M29">
    <cfRule type="expression" dxfId="4440" priority="597">
      <formula>$E14=""</formula>
    </cfRule>
  </conditionalFormatting>
  <conditionalFormatting sqref="M14:M20 M32:M38 M41:M47 M23:M29">
    <cfRule type="expression" dxfId="4439" priority="596">
      <formula>$C14&lt;$E$3</formula>
    </cfRule>
  </conditionalFormatting>
  <conditionalFormatting sqref="M14:M20 M32:M38 M41:M47 M23:M29">
    <cfRule type="expression" dxfId="4438" priority="595">
      <formula>$E14=""</formula>
    </cfRule>
  </conditionalFormatting>
  <conditionalFormatting sqref="M32:M38 M41:M47 M14:M20 M23:M29">
    <cfRule type="expression" dxfId="4437" priority="594">
      <formula>$E14=""</formula>
    </cfRule>
  </conditionalFormatting>
  <conditionalFormatting sqref="M14:M20 M32:M38 M41:M47 M23:M29">
    <cfRule type="expression" dxfId="4436" priority="593">
      <formula>$C14&lt;$E$3</formula>
    </cfRule>
  </conditionalFormatting>
  <conditionalFormatting sqref="M14:M20 M32:M38 M41:M47 M23:M29">
    <cfRule type="expression" dxfId="4435" priority="592">
      <formula>$E14=""</formula>
    </cfRule>
  </conditionalFormatting>
  <conditionalFormatting sqref="M14:M20 M32:M38 M41:M47 M23:M29">
    <cfRule type="expression" dxfId="4434" priority="591">
      <formula>$C14&lt;$E$3</formula>
    </cfRule>
  </conditionalFormatting>
  <conditionalFormatting sqref="M14:M20 M32:M38 M41:M47 M23:M29">
    <cfRule type="expression" dxfId="4433" priority="590">
      <formula>$E14=""</formula>
    </cfRule>
  </conditionalFormatting>
  <conditionalFormatting sqref="M14:M20 M32:M38 M41:M47 M23:M29">
    <cfRule type="expression" dxfId="4432" priority="588">
      <formula>$E14=""</formula>
    </cfRule>
  </conditionalFormatting>
  <conditionalFormatting sqref="M14:M20 M32:M38 M41:M47 M23:M29">
    <cfRule type="expression" dxfId="4431" priority="583">
      <formula>$C14=$E$3</formula>
    </cfRule>
    <cfRule type="expression" dxfId="4430" priority="584">
      <formula>$C14&lt;$E$3</formula>
    </cfRule>
    <cfRule type="cellIs" dxfId="4429" priority="585" operator="equal">
      <formula>0</formula>
    </cfRule>
    <cfRule type="expression" dxfId="4428" priority="586">
      <formula>$C14&gt;$E$3</formula>
    </cfRule>
  </conditionalFormatting>
  <conditionalFormatting sqref="M14:M20 M32:M38 M41:M47 M23:M29">
    <cfRule type="expression" dxfId="4427" priority="582">
      <formula>$C14&lt;$E$3</formula>
    </cfRule>
  </conditionalFormatting>
  <conditionalFormatting sqref="M14:M20 M32:M38 M41:M47 M23:M29">
    <cfRule type="expression" dxfId="4426" priority="578">
      <formula>$C14=$E$3</formula>
    </cfRule>
    <cfRule type="expression" dxfId="4425" priority="579">
      <formula>$C14&lt;$E$3</formula>
    </cfRule>
    <cfRule type="cellIs" dxfId="4424" priority="580" operator="equal">
      <formula>0</formula>
    </cfRule>
    <cfRule type="expression" dxfId="4423" priority="581">
      <formula>$C14&gt;$E$3</formula>
    </cfRule>
  </conditionalFormatting>
  <conditionalFormatting sqref="M14:M20 M32:M38 M41:M47 M23:M29">
    <cfRule type="expression" dxfId="4422" priority="577">
      <formula>$C14&lt;$E$3</formula>
    </cfRule>
  </conditionalFormatting>
  <conditionalFormatting sqref="M14:M20 M32:M38 M41:M47 M23:M29">
    <cfRule type="expression" dxfId="4421" priority="573">
      <formula>$C14=$E$3</formula>
    </cfRule>
    <cfRule type="expression" dxfId="4420" priority="574">
      <formula>$C14&lt;$E$3</formula>
    </cfRule>
    <cfRule type="cellIs" dxfId="4419" priority="575" operator="equal">
      <formula>0</formula>
    </cfRule>
    <cfRule type="expression" dxfId="4418" priority="576">
      <formula>$C14&gt;$E$3</formula>
    </cfRule>
  </conditionalFormatting>
  <conditionalFormatting sqref="M14:M20 M32:M38 M41:M47 M23:M29">
    <cfRule type="expression" dxfId="4417" priority="572">
      <formula>$C14&lt;$E$3</formula>
    </cfRule>
  </conditionalFormatting>
  <conditionalFormatting sqref="M14:M20 M32:M38 M41:M47 M23:M29">
    <cfRule type="expression" dxfId="4416" priority="568">
      <formula>$C14=$E$3</formula>
    </cfRule>
    <cfRule type="expression" dxfId="4415" priority="569">
      <formula>$C14&lt;$E$3</formula>
    </cfRule>
    <cfRule type="cellIs" dxfId="4414" priority="570" operator="equal">
      <formula>0</formula>
    </cfRule>
    <cfRule type="expression" dxfId="4413" priority="571">
      <formula>$C14&gt;$E$3</formula>
    </cfRule>
  </conditionalFormatting>
  <conditionalFormatting sqref="M14:M20 M32:M38 M41:M47 M23:M29">
    <cfRule type="expression" dxfId="4412" priority="567">
      <formula>$E14=""</formula>
    </cfRule>
  </conditionalFormatting>
  <conditionalFormatting sqref="M14:M20 M32:M38 M41:M47 M23:M29">
    <cfRule type="expression" dxfId="4411" priority="566">
      <formula>$C14&lt;$E$3</formula>
    </cfRule>
  </conditionalFormatting>
  <conditionalFormatting sqref="M14:M20 M32:M38 M41:M47 M23:M29">
    <cfRule type="expression" dxfId="4410" priority="565">
      <formula>$E14=""</formula>
    </cfRule>
  </conditionalFormatting>
  <conditionalFormatting sqref="M32:M38 M41:M47 M14:M20 M23:M29">
    <cfRule type="expression" dxfId="4409" priority="564">
      <formula>$E14=""</formula>
    </cfRule>
  </conditionalFormatting>
  <conditionalFormatting sqref="M14:M20 M32:M38 M41:M47 M23:M29">
    <cfRule type="expression" dxfId="4408" priority="563">
      <formula>$C14&lt;$E$3</formula>
    </cfRule>
  </conditionalFormatting>
  <conditionalFormatting sqref="M14:M20 M32:M38 M41:M47 M23:M29">
    <cfRule type="expression" dxfId="4407" priority="562">
      <formula>$E14=""</formula>
    </cfRule>
  </conditionalFormatting>
  <conditionalFormatting sqref="M14:M20 M32:M38 M41:M47 M23:M29">
    <cfRule type="expression" dxfId="4406" priority="561">
      <formula>$C14&lt;$E$3</formula>
    </cfRule>
  </conditionalFormatting>
  <conditionalFormatting sqref="M14:M20 M32:M38 M41:M47 M23:M29">
    <cfRule type="expression" dxfId="4405" priority="560">
      <formula>$E14=""</formula>
    </cfRule>
  </conditionalFormatting>
  <conditionalFormatting sqref="M14:M20 M32:M38 M41:M47 M23:M29">
    <cfRule type="expression" dxfId="4404" priority="558">
      <formula>$E14=""</formula>
    </cfRule>
  </conditionalFormatting>
  <conditionalFormatting sqref="K37">
    <cfRule type="expression" dxfId="4403" priority="263">
      <formula>$C37&lt;$E$3</formula>
    </cfRule>
  </conditionalFormatting>
  <conditionalFormatting sqref="K37">
    <cfRule type="expression" dxfId="4402" priority="259">
      <formula>$C37=$E$3</formula>
    </cfRule>
    <cfRule type="expression" dxfId="4401" priority="260">
      <formula>$C37&lt;$E$3</formula>
    </cfRule>
    <cfRule type="cellIs" dxfId="4400" priority="261" operator="equal">
      <formula>0</formula>
    </cfRule>
    <cfRule type="expression" dxfId="4399" priority="262">
      <formula>$C37&gt;$E$3</formula>
    </cfRule>
  </conditionalFormatting>
  <conditionalFormatting sqref="K37">
    <cfRule type="expression" dxfId="4398" priority="258">
      <formula>$C37&lt;$E$3</formula>
    </cfRule>
  </conditionalFormatting>
  <conditionalFormatting sqref="K37">
    <cfRule type="expression" dxfId="4397" priority="254">
      <formula>$C37=$E$3</formula>
    </cfRule>
    <cfRule type="expression" dxfId="4396" priority="255">
      <formula>$C37&lt;$E$3</formula>
    </cfRule>
    <cfRule type="cellIs" dxfId="4395" priority="256" operator="equal">
      <formula>0</formula>
    </cfRule>
    <cfRule type="expression" dxfId="4394" priority="257">
      <formula>$C37&gt;$E$3</formula>
    </cfRule>
  </conditionalFormatting>
  <conditionalFormatting sqref="K37">
    <cfRule type="expression" dxfId="4393" priority="233">
      <formula>$C37&lt;$E$3</formula>
    </cfRule>
  </conditionalFormatting>
  <conditionalFormatting sqref="K37">
    <cfRule type="expression" dxfId="4392" priority="229">
      <formula>$C37=$E$3</formula>
    </cfRule>
    <cfRule type="expression" dxfId="4391" priority="230">
      <formula>$C37&lt;$E$3</formula>
    </cfRule>
    <cfRule type="cellIs" dxfId="4390" priority="231" operator="equal">
      <formula>0</formula>
    </cfRule>
    <cfRule type="expression" dxfId="4389" priority="232">
      <formula>$C37&gt;$E$3</formula>
    </cfRule>
  </conditionalFormatting>
  <conditionalFormatting sqref="K37">
    <cfRule type="expression" dxfId="4388" priority="228">
      <formula>$C37&lt;$E$3</formula>
    </cfRule>
  </conditionalFormatting>
  <conditionalFormatting sqref="K37">
    <cfRule type="expression" dxfId="4387" priority="224">
      <formula>$C37=$E$3</formula>
    </cfRule>
    <cfRule type="expression" dxfId="4386" priority="225">
      <formula>$C37&lt;$E$3</formula>
    </cfRule>
    <cfRule type="cellIs" dxfId="4385" priority="226" operator="equal">
      <formula>0</formula>
    </cfRule>
    <cfRule type="expression" dxfId="4384" priority="227">
      <formula>$C37&gt;$E$3</formula>
    </cfRule>
  </conditionalFormatting>
  <conditionalFormatting sqref="K32:K36">
    <cfRule type="expression" dxfId="4383" priority="203">
      <formula>$C32&lt;$E$3</formula>
    </cfRule>
  </conditionalFormatting>
  <conditionalFormatting sqref="K32:K36">
    <cfRule type="expression" dxfId="4382" priority="199">
      <formula>$C32=$E$3</formula>
    </cfRule>
    <cfRule type="expression" dxfId="4381" priority="200">
      <formula>$C32&lt;$E$3</formula>
    </cfRule>
    <cfRule type="cellIs" dxfId="4380" priority="201" operator="equal">
      <formula>0</formula>
    </cfRule>
    <cfRule type="expression" dxfId="4379" priority="202">
      <formula>$C32&gt;$E$3</formula>
    </cfRule>
  </conditionalFormatting>
  <conditionalFormatting sqref="K32:K36">
    <cfRule type="expression" dxfId="4378" priority="198">
      <formula>$C32&lt;$E$3</formula>
    </cfRule>
  </conditionalFormatting>
  <conditionalFormatting sqref="K32:K36">
    <cfRule type="expression" dxfId="4377" priority="194">
      <formula>$C32=$E$3</formula>
    </cfRule>
    <cfRule type="expression" dxfId="4376" priority="195">
      <formula>$C32&lt;$E$3</formula>
    </cfRule>
    <cfRule type="cellIs" dxfId="4375" priority="196" operator="equal">
      <formula>0</formula>
    </cfRule>
    <cfRule type="expression" dxfId="4374" priority="197">
      <formula>$C32&gt;$E$3</formula>
    </cfRule>
  </conditionalFormatting>
  <conditionalFormatting sqref="J39:N40">
    <cfRule type="expression" dxfId="4373" priority="557">
      <formula>$L$40=0</formula>
    </cfRule>
  </conditionalFormatting>
  <conditionalFormatting sqref="K14:K20">
    <cfRule type="cellIs" dxfId="4372" priority="556" stopIfTrue="1" operator="lessThan">
      <formula>0</formula>
    </cfRule>
  </conditionalFormatting>
  <conditionalFormatting sqref="K14:K20">
    <cfRule type="expression" dxfId="4371" priority="554">
      <formula>$C14&lt;$E$3</formula>
    </cfRule>
  </conditionalFormatting>
  <conditionalFormatting sqref="K14:K20">
    <cfRule type="expression" dxfId="4370" priority="551">
      <formula>$C14=$E$3</formula>
    </cfRule>
    <cfRule type="expression" dxfId="4369" priority="552">
      <formula>$C14&lt;$E$3</formula>
    </cfRule>
    <cfRule type="cellIs" dxfId="4368" priority="553" operator="equal">
      <formula>0</formula>
    </cfRule>
    <cfRule type="expression" dxfId="4367" priority="555">
      <formula>$C14&gt;$E$3</formula>
    </cfRule>
  </conditionalFormatting>
  <conditionalFormatting sqref="K14:K20">
    <cfRule type="expression" dxfId="4366" priority="550">
      <formula>$E14=""</formula>
    </cfRule>
  </conditionalFormatting>
  <conditionalFormatting sqref="K14:K20">
    <cfRule type="expression" dxfId="4365" priority="549">
      <formula>$E14=""</formula>
    </cfRule>
  </conditionalFormatting>
  <conditionalFormatting sqref="K14:K20">
    <cfRule type="expression" dxfId="4364" priority="548">
      <formula>$E14=""</formula>
    </cfRule>
  </conditionalFormatting>
  <conditionalFormatting sqref="K19">
    <cfRule type="expression" dxfId="4363" priority="547">
      <formula>$C19&lt;$E$3</formula>
    </cfRule>
  </conditionalFormatting>
  <conditionalFormatting sqref="K19">
    <cfRule type="expression" dxfId="4362" priority="543">
      <formula>$C19=$E$3</formula>
    </cfRule>
    <cfRule type="expression" dxfId="4361" priority="544">
      <formula>$C19&lt;$E$3</formula>
    </cfRule>
    <cfRule type="cellIs" dxfId="4360" priority="545" operator="equal">
      <formula>0</formula>
    </cfRule>
    <cfRule type="expression" dxfId="4359" priority="546">
      <formula>$C19&gt;$E$3</formula>
    </cfRule>
  </conditionalFormatting>
  <conditionalFormatting sqref="K19">
    <cfRule type="expression" dxfId="4358" priority="542">
      <formula>$C19&lt;$E$3</formula>
    </cfRule>
  </conditionalFormatting>
  <conditionalFormatting sqref="K19">
    <cfRule type="expression" dxfId="4357" priority="538">
      <formula>$C19=$E$3</formula>
    </cfRule>
    <cfRule type="expression" dxfId="4356" priority="539">
      <formula>$C19&lt;$E$3</formula>
    </cfRule>
    <cfRule type="cellIs" dxfId="4355" priority="540" operator="equal">
      <formula>0</formula>
    </cfRule>
    <cfRule type="expression" dxfId="4354" priority="541">
      <formula>$C19&gt;$E$3</formula>
    </cfRule>
  </conditionalFormatting>
  <conditionalFormatting sqref="K19">
    <cfRule type="expression" dxfId="4353" priority="537">
      <formula>$C19&lt;$E$3</formula>
    </cfRule>
  </conditionalFormatting>
  <conditionalFormatting sqref="K19">
    <cfRule type="expression" dxfId="4352" priority="533">
      <formula>$C19=$E$3</formula>
    </cfRule>
    <cfRule type="expression" dxfId="4351" priority="534">
      <formula>$C19&lt;$E$3</formula>
    </cfRule>
    <cfRule type="cellIs" dxfId="4350" priority="535" operator="equal">
      <formula>0</formula>
    </cfRule>
    <cfRule type="expression" dxfId="4349" priority="536">
      <formula>$C19&gt;$E$3</formula>
    </cfRule>
  </conditionalFormatting>
  <conditionalFormatting sqref="K19">
    <cfRule type="expression" dxfId="4348" priority="532">
      <formula>$C19&lt;$E$3</formula>
    </cfRule>
  </conditionalFormatting>
  <conditionalFormatting sqref="K19">
    <cfRule type="expression" dxfId="4347" priority="528">
      <formula>$C19=$E$3</formula>
    </cfRule>
    <cfRule type="expression" dxfId="4346" priority="529">
      <formula>$C19&lt;$E$3</formula>
    </cfRule>
    <cfRule type="cellIs" dxfId="4345" priority="530" operator="equal">
      <formula>0</formula>
    </cfRule>
    <cfRule type="expression" dxfId="4344" priority="531">
      <formula>$C19&gt;$E$3</formula>
    </cfRule>
  </conditionalFormatting>
  <conditionalFormatting sqref="K19">
    <cfRule type="expression" dxfId="4343" priority="527">
      <formula>$E19=""</formula>
    </cfRule>
  </conditionalFormatting>
  <conditionalFormatting sqref="K19">
    <cfRule type="expression" dxfId="4342" priority="526">
      <formula>$C19&lt;$E$3</formula>
    </cfRule>
  </conditionalFormatting>
  <conditionalFormatting sqref="K19">
    <cfRule type="expression" dxfId="4341" priority="525">
      <formula>$E19=""</formula>
    </cfRule>
  </conditionalFormatting>
  <conditionalFormatting sqref="K19">
    <cfRule type="expression" dxfId="4340" priority="524">
      <formula>$E19=""</formula>
    </cfRule>
  </conditionalFormatting>
  <conditionalFormatting sqref="K19">
    <cfRule type="expression" dxfId="4339" priority="523">
      <formula>$C19&lt;$E$3</formula>
    </cfRule>
  </conditionalFormatting>
  <conditionalFormatting sqref="K19">
    <cfRule type="expression" dxfId="4338" priority="522">
      <formula>$E19=""</formula>
    </cfRule>
  </conditionalFormatting>
  <conditionalFormatting sqref="K19">
    <cfRule type="expression" dxfId="4337" priority="521">
      <formula>$C19&lt;$E$3</formula>
    </cfRule>
  </conditionalFormatting>
  <conditionalFormatting sqref="K19">
    <cfRule type="expression" dxfId="4336" priority="520">
      <formula>$E19=""</formula>
    </cfRule>
  </conditionalFormatting>
  <conditionalFormatting sqref="K19">
    <cfRule type="expression" dxfId="4335" priority="518">
      <formula>$E19=""</formula>
    </cfRule>
  </conditionalFormatting>
  <conditionalFormatting sqref="K19">
    <cfRule type="expression" dxfId="4334" priority="513">
      <formula>$C19=$E$3</formula>
    </cfRule>
    <cfRule type="expression" dxfId="4333" priority="514">
      <formula>$C19&lt;$E$3</formula>
    </cfRule>
    <cfRule type="cellIs" dxfId="4332" priority="515" operator="equal">
      <formula>0</formula>
    </cfRule>
    <cfRule type="expression" dxfId="4331" priority="516">
      <formula>$C19&gt;$E$3</formula>
    </cfRule>
  </conditionalFormatting>
  <conditionalFormatting sqref="K19">
    <cfRule type="expression" dxfId="4330" priority="512">
      <formula>$C19&lt;$E$3</formula>
    </cfRule>
  </conditionalFormatting>
  <conditionalFormatting sqref="K19">
    <cfRule type="expression" dxfId="4329" priority="508">
      <formula>$C19=$E$3</formula>
    </cfRule>
    <cfRule type="expression" dxfId="4328" priority="509">
      <formula>$C19&lt;$E$3</formula>
    </cfRule>
    <cfRule type="cellIs" dxfId="4327" priority="510" operator="equal">
      <formula>0</formula>
    </cfRule>
    <cfRule type="expression" dxfId="4326" priority="511">
      <formula>$C19&gt;$E$3</formula>
    </cfRule>
  </conditionalFormatting>
  <conditionalFormatting sqref="K19">
    <cfRule type="expression" dxfId="4325" priority="507">
      <formula>$C19&lt;$E$3</formula>
    </cfRule>
  </conditionalFormatting>
  <conditionalFormatting sqref="K19">
    <cfRule type="expression" dxfId="4324" priority="503">
      <formula>$C19=$E$3</formula>
    </cfRule>
    <cfRule type="expression" dxfId="4323" priority="504">
      <formula>$C19&lt;$E$3</formula>
    </cfRule>
    <cfRule type="cellIs" dxfId="4322" priority="505" operator="equal">
      <formula>0</formula>
    </cfRule>
    <cfRule type="expression" dxfId="4321" priority="506">
      <formula>$C19&gt;$E$3</formula>
    </cfRule>
  </conditionalFormatting>
  <conditionalFormatting sqref="K19">
    <cfRule type="expression" dxfId="4320" priority="502">
      <formula>$C19&lt;$E$3</formula>
    </cfRule>
  </conditionalFormatting>
  <conditionalFormatting sqref="K19">
    <cfRule type="expression" dxfId="4319" priority="498">
      <formula>$C19=$E$3</formula>
    </cfRule>
    <cfRule type="expression" dxfId="4318" priority="499">
      <formula>$C19&lt;$E$3</formula>
    </cfRule>
    <cfRule type="cellIs" dxfId="4317" priority="500" operator="equal">
      <formula>0</formula>
    </cfRule>
    <cfRule type="expression" dxfId="4316" priority="501">
      <formula>$C19&gt;$E$3</formula>
    </cfRule>
  </conditionalFormatting>
  <conditionalFormatting sqref="K19">
    <cfRule type="expression" dxfId="4315" priority="497">
      <formula>$E19=""</formula>
    </cfRule>
  </conditionalFormatting>
  <conditionalFormatting sqref="K19">
    <cfRule type="expression" dxfId="4314" priority="496">
      <formula>$C19&lt;$E$3</formula>
    </cfRule>
  </conditionalFormatting>
  <conditionalFormatting sqref="K19">
    <cfRule type="expression" dxfId="4313" priority="495">
      <formula>$E19=""</formula>
    </cfRule>
  </conditionalFormatting>
  <conditionalFormatting sqref="K19">
    <cfRule type="expression" dxfId="4312" priority="494">
      <formula>$E19=""</formula>
    </cfRule>
  </conditionalFormatting>
  <conditionalFormatting sqref="K19">
    <cfRule type="expression" dxfId="4311" priority="493">
      <formula>$C19&lt;$E$3</formula>
    </cfRule>
  </conditionalFormatting>
  <conditionalFormatting sqref="K19">
    <cfRule type="expression" dxfId="4310" priority="492">
      <formula>$E19=""</formula>
    </cfRule>
  </conditionalFormatting>
  <conditionalFormatting sqref="K19">
    <cfRule type="expression" dxfId="4309" priority="491">
      <formula>$C19&lt;$E$3</formula>
    </cfRule>
  </conditionalFormatting>
  <conditionalFormatting sqref="K19">
    <cfRule type="expression" dxfId="4308" priority="490">
      <formula>$E19=""</formula>
    </cfRule>
  </conditionalFormatting>
  <conditionalFormatting sqref="K19">
    <cfRule type="expression" dxfId="4307" priority="488">
      <formula>$E19=""</formula>
    </cfRule>
  </conditionalFormatting>
  <conditionalFormatting sqref="K14:K18">
    <cfRule type="expression" dxfId="4306" priority="483">
      <formula>$C14=$E$3</formula>
    </cfRule>
    <cfRule type="expression" dxfId="4305" priority="484">
      <formula>$C14&lt;$E$3</formula>
    </cfRule>
    <cfRule type="cellIs" dxfId="4304" priority="485" operator="equal">
      <formula>0</formula>
    </cfRule>
    <cfRule type="expression" dxfId="4303" priority="486">
      <formula>$C14&gt;$E$3</formula>
    </cfRule>
  </conditionalFormatting>
  <conditionalFormatting sqref="K14:K18">
    <cfRule type="expression" dxfId="4302" priority="482">
      <formula>$C14&lt;$E$3</formula>
    </cfRule>
  </conditionalFormatting>
  <conditionalFormatting sqref="K14:K18">
    <cfRule type="expression" dxfId="4301" priority="478">
      <formula>$C14=$E$3</formula>
    </cfRule>
    <cfRule type="expression" dxfId="4300" priority="479">
      <formula>$C14&lt;$E$3</formula>
    </cfRule>
    <cfRule type="cellIs" dxfId="4299" priority="480" operator="equal">
      <formula>0</formula>
    </cfRule>
    <cfRule type="expression" dxfId="4298" priority="481">
      <formula>$C14&gt;$E$3</formula>
    </cfRule>
  </conditionalFormatting>
  <conditionalFormatting sqref="K14:K18">
    <cfRule type="expression" dxfId="4297" priority="477">
      <formula>$C14&lt;$E$3</formula>
    </cfRule>
  </conditionalFormatting>
  <conditionalFormatting sqref="K14:K18">
    <cfRule type="expression" dxfId="4296" priority="473">
      <formula>$C14=$E$3</formula>
    </cfRule>
    <cfRule type="expression" dxfId="4295" priority="474">
      <formula>$C14&lt;$E$3</formula>
    </cfRule>
    <cfRule type="cellIs" dxfId="4294" priority="475" operator="equal">
      <formula>0</formula>
    </cfRule>
    <cfRule type="expression" dxfId="4293" priority="476">
      <formula>$C14&gt;$E$3</formula>
    </cfRule>
  </conditionalFormatting>
  <conditionalFormatting sqref="K14:K18">
    <cfRule type="expression" dxfId="4292" priority="472">
      <formula>$C14&lt;$E$3</formula>
    </cfRule>
  </conditionalFormatting>
  <conditionalFormatting sqref="K14:K18">
    <cfRule type="expression" dxfId="4291" priority="468">
      <formula>$C14=$E$3</formula>
    </cfRule>
    <cfRule type="expression" dxfId="4290" priority="469">
      <formula>$C14&lt;$E$3</formula>
    </cfRule>
    <cfRule type="cellIs" dxfId="4289" priority="470" operator="equal">
      <formula>0</formula>
    </cfRule>
    <cfRule type="expression" dxfId="4288" priority="471">
      <formula>$C14&gt;$E$3</formula>
    </cfRule>
  </conditionalFormatting>
  <conditionalFormatting sqref="K14:K18">
    <cfRule type="expression" dxfId="4287" priority="467">
      <formula>$E14=""</formula>
    </cfRule>
  </conditionalFormatting>
  <conditionalFormatting sqref="K14:K18">
    <cfRule type="expression" dxfId="4286" priority="466">
      <formula>$C14&lt;$E$3</formula>
    </cfRule>
  </conditionalFormatting>
  <conditionalFormatting sqref="K14:K18">
    <cfRule type="expression" dxfId="4285" priority="465">
      <formula>$E14=""</formula>
    </cfRule>
  </conditionalFormatting>
  <conditionalFormatting sqref="K14:K18">
    <cfRule type="expression" dxfId="4284" priority="464">
      <formula>$E14=""</formula>
    </cfRule>
  </conditionalFormatting>
  <conditionalFormatting sqref="K14:K18">
    <cfRule type="expression" dxfId="4283" priority="463">
      <formula>$C14&lt;$E$3</formula>
    </cfRule>
  </conditionalFormatting>
  <conditionalFormatting sqref="K14:K18">
    <cfRule type="expression" dxfId="4282" priority="462">
      <formula>$E14=""</formula>
    </cfRule>
  </conditionalFormatting>
  <conditionalFormatting sqref="K14:K18">
    <cfRule type="expression" dxfId="4281" priority="461">
      <formula>$C14&lt;$E$3</formula>
    </cfRule>
  </conditionalFormatting>
  <conditionalFormatting sqref="K14:K18">
    <cfRule type="expression" dxfId="4280" priority="460">
      <formula>$E14=""</formula>
    </cfRule>
  </conditionalFormatting>
  <conditionalFormatting sqref="K14:K18">
    <cfRule type="expression" dxfId="4279" priority="458">
      <formula>$E14=""</formula>
    </cfRule>
  </conditionalFormatting>
  <conditionalFormatting sqref="K14:K18">
    <cfRule type="expression" dxfId="4278" priority="453">
      <formula>$C14=$E$3</formula>
    </cfRule>
    <cfRule type="expression" dxfId="4277" priority="454">
      <formula>$C14&lt;$E$3</formula>
    </cfRule>
    <cfRule type="cellIs" dxfId="4276" priority="455" operator="equal">
      <formula>0</formula>
    </cfRule>
    <cfRule type="expression" dxfId="4275" priority="456">
      <formula>$C14&gt;$E$3</formula>
    </cfRule>
  </conditionalFormatting>
  <conditionalFormatting sqref="K14:K18">
    <cfRule type="expression" dxfId="4274" priority="452">
      <formula>$C14&lt;$E$3</formula>
    </cfRule>
  </conditionalFormatting>
  <conditionalFormatting sqref="K14:K18">
    <cfRule type="expression" dxfId="4273" priority="448">
      <formula>$C14=$E$3</formula>
    </cfRule>
    <cfRule type="expression" dxfId="4272" priority="449">
      <formula>$C14&lt;$E$3</formula>
    </cfRule>
    <cfRule type="cellIs" dxfId="4271" priority="450" operator="equal">
      <formula>0</formula>
    </cfRule>
    <cfRule type="expression" dxfId="4270" priority="451">
      <formula>$C14&gt;$E$3</formula>
    </cfRule>
  </conditionalFormatting>
  <conditionalFormatting sqref="K14:K18">
    <cfRule type="expression" dxfId="4269" priority="447">
      <formula>$C14&lt;$E$3</formula>
    </cfRule>
  </conditionalFormatting>
  <conditionalFormatting sqref="K14:K18">
    <cfRule type="expression" dxfId="4268" priority="443">
      <formula>$C14=$E$3</formula>
    </cfRule>
    <cfRule type="expression" dxfId="4267" priority="444">
      <formula>$C14&lt;$E$3</formula>
    </cfRule>
    <cfRule type="cellIs" dxfId="4266" priority="445" operator="equal">
      <formula>0</formula>
    </cfRule>
    <cfRule type="expression" dxfId="4265" priority="446">
      <formula>$C14&gt;$E$3</formula>
    </cfRule>
  </conditionalFormatting>
  <conditionalFormatting sqref="K14:K18">
    <cfRule type="expression" dxfId="4264" priority="442">
      <formula>$C14&lt;$E$3</formula>
    </cfRule>
  </conditionalFormatting>
  <conditionalFormatting sqref="K14:K18">
    <cfRule type="expression" dxfId="4263" priority="438">
      <formula>$C14=$E$3</formula>
    </cfRule>
    <cfRule type="expression" dxfId="4262" priority="439">
      <formula>$C14&lt;$E$3</formula>
    </cfRule>
    <cfRule type="cellIs" dxfId="4261" priority="440" operator="equal">
      <formula>0</formula>
    </cfRule>
    <cfRule type="expression" dxfId="4260" priority="441">
      <formula>$C14&gt;$E$3</formula>
    </cfRule>
  </conditionalFormatting>
  <conditionalFormatting sqref="K14:K18">
    <cfRule type="expression" dxfId="4259" priority="437">
      <formula>$E14=""</formula>
    </cfRule>
  </conditionalFormatting>
  <conditionalFormatting sqref="K14:K18">
    <cfRule type="expression" dxfId="4258" priority="436">
      <formula>$C14&lt;$E$3</formula>
    </cfRule>
  </conditionalFormatting>
  <conditionalFormatting sqref="K14:K18">
    <cfRule type="expression" dxfId="4257" priority="435">
      <formula>$E14=""</formula>
    </cfRule>
  </conditionalFormatting>
  <conditionalFormatting sqref="K14:K18">
    <cfRule type="expression" dxfId="4256" priority="434">
      <formula>$E14=""</formula>
    </cfRule>
  </conditionalFormatting>
  <conditionalFormatting sqref="K14:K18">
    <cfRule type="expression" dxfId="4255" priority="433">
      <formula>$C14&lt;$E$3</formula>
    </cfRule>
  </conditionalFormatting>
  <conditionalFormatting sqref="K14:K18">
    <cfRule type="expression" dxfId="4254" priority="432">
      <formula>$E14=""</formula>
    </cfRule>
  </conditionalFormatting>
  <conditionalFormatting sqref="K14:K18">
    <cfRule type="expression" dxfId="4253" priority="431">
      <formula>$C14&lt;$E$3</formula>
    </cfRule>
  </conditionalFormatting>
  <conditionalFormatting sqref="K14:K18">
    <cfRule type="expression" dxfId="4252" priority="430">
      <formula>$E14=""</formula>
    </cfRule>
  </conditionalFormatting>
  <conditionalFormatting sqref="K14:K18">
    <cfRule type="expression" dxfId="4251" priority="428">
      <formula>$E14=""</formula>
    </cfRule>
  </conditionalFormatting>
  <conditionalFormatting sqref="K14:K20">
    <cfRule type="expression" dxfId="4250" priority="426">
      <formula>$C14&lt;$E$3</formula>
    </cfRule>
  </conditionalFormatting>
  <conditionalFormatting sqref="K14:K20">
    <cfRule type="expression" dxfId="4249" priority="423">
      <formula>$C14=$E$3</formula>
    </cfRule>
    <cfRule type="expression" dxfId="4248" priority="424">
      <formula>$C14&lt;$E$3</formula>
    </cfRule>
    <cfRule type="cellIs" dxfId="4247" priority="425" operator="equal">
      <formula>0</formula>
    </cfRule>
    <cfRule type="expression" dxfId="4246" priority="427">
      <formula>$C14&gt;$E$3</formula>
    </cfRule>
  </conditionalFormatting>
  <conditionalFormatting sqref="K14:K20">
    <cfRule type="expression" dxfId="4245" priority="422">
      <formula>$E14=""</formula>
    </cfRule>
  </conditionalFormatting>
  <conditionalFormatting sqref="K14:K20">
    <cfRule type="expression" dxfId="4244" priority="421">
      <formula>$E14=""</formula>
    </cfRule>
  </conditionalFormatting>
  <conditionalFormatting sqref="K14:K20">
    <cfRule type="expression" dxfId="4243" priority="420">
      <formula>$E14=""</formula>
    </cfRule>
  </conditionalFormatting>
  <conditionalFormatting sqref="K23:K29">
    <cfRule type="cellIs" dxfId="4242" priority="419" stopIfTrue="1" operator="lessThan">
      <formula>0</formula>
    </cfRule>
  </conditionalFormatting>
  <conditionalFormatting sqref="K23:K29">
    <cfRule type="expression" dxfId="4241" priority="417">
      <formula>$C23&lt;$E$3</formula>
    </cfRule>
  </conditionalFormatting>
  <conditionalFormatting sqref="K23:K29">
    <cfRule type="expression" dxfId="4240" priority="414">
      <formula>$C23=$E$3</formula>
    </cfRule>
    <cfRule type="expression" dxfId="4239" priority="415">
      <formula>$C23&lt;$E$3</formula>
    </cfRule>
    <cfRule type="cellIs" dxfId="4238" priority="416" operator="equal">
      <formula>0</formula>
    </cfRule>
    <cfRule type="expression" dxfId="4237" priority="418">
      <formula>$C23&gt;$E$3</formula>
    </cfRule>
  </conditionalFormatting>
  <conditionalFormatting sqref="K23:K29">
    <cfRule type="expression" dxfId="4236" priority="413">
      <formula>$E23=""</formula>
    </cfRule>
  </conditionalFormatting>
  <conditionalFormatting sqref="K23:K29">
    <cfRule type="expression" dxfId="4235" priority="412">
      <formula>$E23=""</formula>
    </cfRule>
  </conditionalFormatting>
  <conditionalFormatting sqref="K23:K29">
    <cfRule type="expression" dxfId="4234" priority="411">
      <formula>$E23=""</formula>
    </cfRule>
  </conditionalFormatting>
  <conditionalFormatting sqref="K28">
    <cfRule type="expression" dxfId="4233" priority="410">
      <formula>$C28&lt;$E$3</formula>
    </cfRule>
  </conditionalFormatting>
  <conditionalFormatting sqref="K28">
    <cfRule type="expression" dxfId="4232" priority="406">
      <formula>$C28=$E$3</formula>
    </cfRule>
    <cfRule type="expression" dxfId="4231" priority="407">
      <formula>$C28&lt;$E$3</formula>
    </cfRule>
    <cfRule type="cellIs" dxfId="4230" priority="408" operator="equal">
      <formula>0</formula>
    </cfRule>
    <cfRule type="expression" dxfId="4229" priority="409">
      <formula>$C28&gt;$E$3</formula>
    </cfRule>
  </conditionalFormatting>
  <conditionalFormatting sqref="K28">
    <cfRule type="expression" dxfId="4228" priority="405">
      <formula>$C28&lt;$E$3</formula>
    </cfRule>
  </conditionalFormatting>
  <conditionalFormatting sqref="K28">
    <cfRule type="expression" dxfId="4227" priority="401">
      <formula>$C28=$E$3</formula>
    </cfRule>
    <cfRule type="expression" dxfId="4226" priority="402">
      <formula>$C28&lt;$E$3</formula>
    </cfRule>
    <cfRule type="cellIs" dxfId="4225" priority="403" operator="equal">
      <formula>0</formula>
    </cfRule>
    <cfRule type="expression" dxfId="4224" priority="404">
      <formula>$C28&gt;$E$3</formula>
    </cfRule>
  </conditionalFormatting>
  <conditionalFormatting sqref="K28">
    <cfRule type="expression" dxfId="4223" priority="400">
      <formula>$C28&lt;$E$3</formula>
    </cfRule>
  </conditionalFormatting>
  <conditionalFormatting sqref="K28">
    <cfRule type="expression" dxfId="4222" priority="396">
      <formula>$C28=$E$3</formula>
    </cfRule>
    <cfRule type="expression" dxfId="4221" priority="397">
      <formula>$C28&lt;$E$3</formula>
    </cfRule>
    <cfRule type="cellIs" dxfId="4220" priority="398" operator="equal">
      <formula>0</formula>
    </cfRule>
    <cfRule type="expression" dxfId="4219" priority="399">
      <formula>$C28&gt;$E$3</formula>
    </cfRule>
  </conditionalFormatting>
  <conditionalFormatting sqref="K28">
    <cfRule type="expression" dxfId="4218" priority="395">
      <formula>$C28&lt;$E$3</formula>
    </cfRule>
  </conditionalFormatting>
  <conditionalFormatting sqref="K28">
    <cfRule type="expression" dxfId="4217" priority="391">
      <formula>$C28=$E$3</formula>
    </cfRule>
    <cfRule type="expression" dxfId="4216" priority="392">
      <formula>$C28&lt;$E$3</formula>
    </cfRule>
    <cfRule type="cellIs" dxfId="4215" priority="393" operator="equal">
      <formula>0</formula>
    </cfRule>
    <cfRule type="expression" dxfId="4214" priority="394">
      <formula>$C28&gt;$E$3</formula>
    </cfRule>
  </conditionalFormatting>
  <conditionalFormatting sqref="K28">
    <cfRule type="expression" dxfId="4213" priority="390">
      <formula>$E28=""</formula>
    </cfRule>
  </conditionalFormatting>
  <conditionalFormatting sqref="K28">
    <cfRule type="expression" dxfId="4212" priority="389">
      <formula>$C28&lt;$E$3</formula>
    </cfRule>
  </conditionalFormatting>
  <conditionalFormatting sqref="K28">
    <cfRule type="expression" dxfId="4211" priority="388">
      <formula>$E28=""</formula>
    </cfRule>
  </conditionalFormatting>
  <conditionalFormatting sqref="K28">
    <cfRule type="expression" dxfId="4210" priority="387">
      <formula>$E28=""</formula>
    </cfRule>
  </conditionalFormatting>
  <conditionalFormatting sqref="K28">
    <cfRule type="expression" dxfId="4209" priority="386">
      <formula>$C28&lt;$E$3</formula>
    </cfRule>
  </conditionalFormatting>
  <conditionalFormatting sqref="K28">
    <cfRule type="expression" dxfId="4208" priority="385">
      <formula>$E28=""</formula>
    </cfRule>
  </conditionalFormatting>
  <conditionalFormatting sqref="K28">
    <cfRule type="expression" dxfId="4207" priority="384">
      <formula>$C28&lt;$E$3</formula>
    </cfRule>
  </conditionalFormatting>
  <conditionalFormatting sqref="K28">
    <cfRule type="expression" dxfId="4206" priority="383">
      <formula>$E28=""</formula>
    </cfRule>
  </conditionalFormatting>
  <conditionalFormatting sqref="K28">
    <cfRule type="expression" dxfId="4205" priority="381">
      <formula>$E28=""</formula>
    </cfRule>
  </conditionalFormatting>
  <conditionalFormatting sqref="K28">
    <cfRule type="expression" dxfId="4204" priority="376">
      <formula>$C28=$E$3</formula>
    </cfRule>
    <cfRule type="expression" dxfId="4203" priority="377">
      <formula>$C28&lt;$E$3</formula>
    </cfRule>
    <cfRule type="cellIs" dxfId="4202" priority="378" operator="equal">
      <formula>0</formula>
    </cfRule>
    <cfRule type="expression" dxfId="4201" priority="379">
      <formula>$C28&gt;$E$3</formula>
    </cfRule>
  </conditionalFormatting>
  <conditionalFormatting sqref="K28">
    <cfRule type="expression" dxfId="4200" priority="375">
      <formula>$C28&lt;$E$3</formula>
    </cfRule>
  </conditionalFormatting>
  <conditionalFormatting sqref="K28">
    <cfRule type="expression" dxfId="4199" priority="371">
      <formula>$C28=$E$3</formula>
    </cfRule>
    <cfRule type="expression" dxfId="4198" priority="372">
      <formula>$C28&lt;$E$3</formula>
    </cfRule>
    <cfRule type="cellIs" dxfId="4197" priority="373" operator="equal">
      <formula>0</formula>
    </cfRule>
    <cfRule type="expression" dxfId="4196" priority="374">
      <formula>$C28&gt;$E$3</formula>
    </cfRule>
  </conditionalFormatting>
  <conditionalFormatting sqref="K28">
    <cfRule type="expression" dxfId="4195" priority="370">
      <formula>$C28&lt;$E$3</formula>
    </cfRule>
  </conditionalFormatting>
  <conditionalFormatting sqref="K28">
    <cfRule type="expression" dxfId="4194" priority="366">
      <formula>$C28=$E$3</formula>
    </cfRule>
    <cfRule type="expression" dxfId="4193" priority="367">
      <formula>$C28&lt;$E$3</formula>
    </cfRule>
    <cfRule type="cellIs" dxfId="4192" priority="368" operator="equal">
      <formula>0</formula>
    </cfRule>
    <cfRule type="expression" dxfId="4191" priority="369">
      <formula>$C28&gt;$E$3</formula>
    </cfRule>
  </conditionalFormatting>
  <conditionalFormatting sqref="K28">
    <cfRule type="expression" dxfId="4190" priority="365">
      <formula>$C28&lt;$E$3</formula>
    </cfRule>
  </conditionalFormatting>
  <conditionalFormatting sqref="K28">
    <cfRule type="expression" dxfId="4189" priority="361">
      <formula>$C28=$E$3</formula>
    </cfRule>
    <cfRule type="expression" dxfId="4188" priority="362">
      <formula>$C28&lt;$E$3</formula>
    </cfRule>
    <cfRule type="cellIs" dxfId="4187" priority="363" operator="equal">
      <formula>0</formula>
    </cfRule>
    <cfRule type="expression" dxfId="4186" priority="364">
      <formula>$C28&gt;$E$3</formula>
    </cfRule>
  </conditionalFormatting>
  <conditionalFormatting sqref="K28">
    <cfRule type="expression" dxfId="4185" priority="360">
      <formula>$E28=""</formula>
    </cfRule>
  </conditionalFormatting>
  <conditionalFormatting sqref="K28">
    <cfRule type="expression" dxfId="4184" priority="359">
      <formula>$C28&lt;$E$3</formula>
    </cfRule>
  </conditionalFormatting>
  <conditionalFormatting sqref="K28">
    <cfRule type="expression" dxfId="4183" priority="358">
      <formula>$E28=""</formula>
    </cfRule>
  </conditionalFormatting>
  <conditionalFormatting sqref="K28">
    <cfRule type="expression" dxfId="4182" priority="357">
      <formula>$E28=""</formula>
    </cfRule>
  </conditionalFormatting>
  <conditionalFormatting sqref="K28">
    <cfRule type="expression" dxfId="4181" priority="356">
      <formula>$C28&lt;$E$3</formula>
    </cfRule>
  </conditionalFormatting>
  <conditionalFormatting sqref="K28">
    <cfRule type="expression" dxfId="4180" priority="355">
      <formula>$E28=""</formula>
    </cfRule>
  </conditionalFormatting>
  <conditionalFormatting sqref="K28">
    <cfRule type="expression" dxfId="4179" priority="354">
      <formula>$C28&lt;$E$3</formula>
    </cfRule>
  </conditionalFormatting>
  <conditionalFormatting sqref="K28">
    <cfRule type="expression" dxfId="4178" priority="353">
      <formula>$E28=""</formula>
    </cfRule>
  </conditionalFormatting>
  <conditionalFormatting sqref="K28">
    <cfRule type="expression" dxfId="4177" priority="351">
      <formula>$E28=""</formula>
    </cfRule>
  </conditionalFormatting>
  <conditionalFormatting sqref="K23:K27">
    <cfRule type="expression" dxfId="4176" priority="346">
      <formula>$C23=$E$3</formula>
    </cfRule>
    <cfRule type="expression" dxfId="4175" priority="347">
      <formula>$C23&lt;$E$3</formula>
    </cfRule>
    <cfRule type="cellIs" dxfId="4174" priority="348" operator="equal">
      <formula>0</formula>
    </cfRule>
    <cfRule type="expression" dxfId="4173" priority="349">
      <formula>$C23&gt;$E$3</formula>
    </cfRule>
  </conditionalFormatting>
  <conditionalFormatting sqref="K23:K27">
    <cfRule type="expression" dxfId="4172" priority="345">
      <formula>$C23&lt;$E$3</formula>
    </cfRule>
  </conditionalFormatting>
  <conditionalFormatting sqref="K23:K27">
    <cfRule type="expression" dxfId="4171" priority="341">
      <formula>$C23=$E$3</formula>
    </cfRule>
    <cfRule type="expression" dxfId="4170" priority="342">
      <formula>$C23&lt;$E$3</formula>
    </cfRule>
    <cfRule type="cellIs" dxfId="4169" priority="343" operator="equal">
      <formula>0</formula>
    </cfRule>
    <cfRule type="expression" dxfId="4168" priority="344">
      <formula>$C23&gt;$E$3</formula>
    </cfRule>
  </conditionalFormatting>
  <conditionalFormatting sqref="K23:K27">
    <cfRule type="expression" dxfId="4167" priority="340">
      <formula>$C23&lt;$E$3</formula>
    </cfRule>
  </conditionalFormatting>
  <conditionalFormatting sqref="K23:K27">
    <cfRule type="expression" dxfId="4166" priority="336">
      <formula>$C23=$E$3</formula>
    </cfRule>
    <cfRule type="expression" dxfId="4165" priority="337">
      <formula>$C23&lt;$E$3</formula>
    </cfRule>
    <cfRule type="cellIs" dxfId="4164" priority="338" operator="equal">
      <formula>0</formula>
    </cfRule>
    <cfRule type="expression" dxfId="4163" priority="339">
      <formula>$C23&gt;$E$3</formula>
    </cfRule>
  </conditionalFormatting>
  <conditionalFormatting sqref="K23:K27">
    <cfRule type="expression" dxfId="4162" priority="335">
      <formula>$C23&lt;$E$3</formula>
    </cfRule>
  </conditionalFormatting>
  <conditionalFormatting sqref="K23:K27">
    <cfRule type="expression" dxfId="4161" priority="331">
      <formula>$C23=$E$3</formula>
    </cfRule>
    <cfRule type="expression" dxfId="4160" priority="332">
      <formula>$C23&lt;$E$3</formula>
    </cfRule>
    <cfRule type="cellIs" dxfId="4159" priority="333" operator="equal">
      <formula>0</formula>
    </cfRule>
    <cfRule type="expression" dxfId="4158" priority="334">
      <formula>$C23&gt;$E$3</formula>
    </cfRule>
  </conditionalFormatting>
  <conditionalFormatting sqref="K23:K27">
    <cfRule type="expression" dxfId="4157" priority="330">
      <formula>$E23=""</formula>
    </cfRule>
  </conditionalFormatting>
  <conditionalFormatting sqref="K23:K27">
    <cfRule type="expression" dxfId="4156" priority="329">
      <formula>$C23&lt;$E$3</formula>
    </cfRule>
  </conditionalFormatting>
  <conditionalFormatting sqref="K23:K27">
    <cfRule type="expression" dxfId="4155" priority="328">
      <formula>$E23=""</formula>
    </cfRule>
  </conditionalFormatting>
  <conditionalFormatting sqref="K23:K27">
    <cfRule type="expression" dxfId="4154" priority="327">
      <formula>$E23=""</formula>
    </cfRule>
  </conditionalFormatting>
  <conditionalFormatting sqref="K23:K27">
    <cfRule type="expression" dxfId="4153" priority="326">
      <formula>$C23&lt;$E$3</formula>
    </cfRule>
  </conditionalFormatting>
  <conditionalFormatting sqref="K23:K27">
    <cfRule type="expression" dxfId="4152" priority="325">
      <formula>$E23=""</formula>
    </cfRule>
  </conditionalFormatting>
  <conditionalFormatting sqref="K23:K27">
    <cfRule type="expression" dxfId="4151" priority="324">
      <formula>$C23&lt;$E$3</formula>
    </cfRule>
  </conditionalFormatting>
  <conditionalFormatting sqref="K23:K27">
    <cfRule type="expression" dxfId="4150" priority="323">
      <formula>$E23=""</formula>
    </cfRule>
  </conditionalFormatting>
  <conditionalFormatting sqref="K23:K27">
    <cfRule type="expression" dxfId="4149" priority="321">
      <formula>$E23=""</formula>
    </cfRule>
  </conditionalFormatting>
  <conditionalFormatting sqref="K23:K27">
    <cfRule type="expression" dxfId="4148" priority="316">
      <formula>$C23=$E$3</formula>
    </cfRule>
    <cfRule type="expression" dxfId="4147" priority="317">
      <formula>$C23&lt;$E$3</formula>
    </cfRule>
    <cfRule type="cellIs" dxfId="4146" priority="318" operator="equal">
      <formula>0</formula>
    </cfRule>
    <cfRule type="expression" dxfId="4145" priority="319">
      <formula>$C23&gt;$E$3</formula>
    </cfRule>
  </conditionalFormatting>
  <conditionalFormatting sqref="K23:K27">
    <cfRule type="expression" dxfId="4144" priority="315">
      <formula>$C23&lt;$E$3</formula>
    </cfRule>
  </conditionalFormatting>
  <conditionalFormatting sqref="K23:K27">
    <cfRule type="expression" dxfId="4143" priority="311">
      <formula>$C23=$E$3</formula>
    </cfRule>
    <cfRule type="expression" dxfId="4142" priority="312">
      <formula>$C23&lt;$E$3</formula>
    </cfRule>
    <cfRule type="cellIs" dxfId="4141" priority="313" operator="equal">
      <formula>0</formula>
    </cfRule>
    <cfRule type="expression" dxfId="4140" priority="314">
      <formula>$C23&gt;$E$3</formula>
    </cfRule>
  </conditionalFormatting>
  <conditionalFormatting sqref="K23:K27">
    <cfRule type="expression" dxfId="4139" priority="310">
      <formula>$C23&lt;$E$3</formula>
    </cfRule>
  </conditionalFormatting>
  <conditionalFormatting sqref="K23:K27">
    <cfRule type="expression" dxfId="4138" priority="306">
      <formula>$C23=$E$3</formula>
    </cfRule>
    <cfRule type="expression" dxfId="4137" priority="307">
      <formula>$C23&lt;$E$3</formula>
    </cfRule>
    <cfRule type="cellIs" dxfId="4136" priority="308" operator="equal">
      <formula>0</formula>
    </cfRule>
    <cfRule type="expression" dxfId="4135" priority="309">
      <formula>$C23&gt;$E$3</formula>
    </cfRule>
  </conditionalFormatting>
  <conditionalFormatting sqref="K23:K27">
    <cfRule type="expression" dxfId="4134" priority="305">
      <formula>$C23&lt;$E$3</formula>
    </cfRule>
  </conditionalFormatting>
  <conditionalFormatting sqref="K23:K27">
    <cfRule type="expression" dxfId="4133" priority="301">
      <formula>$C23=$E$3</formula>
    </cfRule>
    <cfRule type="expression" dxfId="4132" priority="302">
      <formula>$C23&lt;$E$3</formula>
    </cfRule>
    <cfRule type="cellIs" dxfId="4131" priority="303" operator="equal">
      <formula>0</formula>
    </cfRule>
    <cfRule type="expression" dxfId="4130" priority="304">
      <formula>$C23&gt;$E$3</formula>
    </cfRule>
  </conditionalFormatting>
  <conditionalFormatting sqref="K23:K27">
    <cfRule type="expression" dxfId="4129" priority="300">
      <formula>$E23=""</formula>
    </cfRule>
  </conditionalFormatting>
  <conditionalFormatting sqref="K23:K27">
    <cfRule type="expression" dxfId="4128" priority="299">
      <formula>$C23&lt;$E$3</formula>
    </cfRule>
  </conditionalFormatting>
  <conditionalFormatting sqref="K23:K27">
    <cfRule type="expression" dxfId="4127" priority="298">
      <formula>$E23=""</formula>
    </cfRule>
  </conditionalFormatting>
  <conditionalFormatting sqref="K23:K27">
    <cfRule type="expression" dxfId="4126" priority="297">
      <formula>$E23=""</formula>
    </cfRule>
  </conditionalFormatting>
  <conditionalFormatting sqref="K23:K27">
    <cfRule type="expression" dxfId="4125" priority="296">
      <formula>$C23&lt;$E$3</formula>
    </cfRule>
  </conditionalFormatting>
  <conditionalFormatting sqref="K23:K27">
    <cfRule type="expression" dxfId="4124" priority="295">
      <formula>$E23=""</formula>
    </cfRule>
  </conditionalFormatting>
  <conditionalFormatting sqref="K23:K27">
    <cfRule type="expression" dxfId="4123" priority="294">
      <formula>$C23&lt;$E$3</formula>
    </cfRule>
  </conditionalFormatting>
  <conditionalFormatting sqref="K23:K27">
    <cfRule type="expression" dxfId="4122" priority="293">
      <formula>$E23=""</formula>
    </cfRule>
  </conditionalFormatting>
  <conditionalFormatting sqref="K23:K27">
    <cfRule type="expression" dxfId="4121" priority="291">
      <formula>$E23=""</formula>
    </cfRule>
  </conditionalFormatting>
  <conditionalFormatting sqref="K23:K29">
    <cfRule type="expression" dxfId="4120" priority="289">
      <formula>$C23&lt;$E$3</formula>
    </cfRule>
  </conditionalFormatting>
  <conditionalFormatting sqref="K23:K29">
    <cfRule type="expression" dxfId="4119" priority="286">
      <formula>$C23=$E$3</formula>
    </cfRule>
    <cfRule type="expression" dxfId="4118" priority="287">
      <formula>$C23&lt;$E$3</formula>
    </cfRule>
    <cfRule type="cellIs" dxfId="4117" priority="288" operator="equal">
      <formula>0</formula>
    </cfRule>
    <cfRule type="expression" dxfId="4116" priority="290">
      <formula>$C23&gt;$E$3</formula>
    </cfRule>
  </conditionalFormatting>
  <conditionalFormatting sqref="K23:K29">
    <cfRule type="expression" dxfId="4115" priority="285">
      <formula>$E23=""</formula>
    </cfRule>
  </conditionalFormatting>
  <conditionalFormatting sqref="K23:K29">
    <cfRule type="expression" dxfId="4114" priority="284">
      <formula>$E23=""</formula>
    </cfRule>
  </conditionalFormatting>
  <conditionalFormatting sqref="K23:K29">
    <cfRule type="expression" dxfId="4113" priority="283">
      <formula>$E23=""</formula>
    </cfRule>
  </conditionalFormatting>
  <conditionalFormatting sqref="K32:K38">
    <cfRule type="cellIs" dxfId="4112" priority="282" stopIfTrue="1" operator="lessThan">
      <formula>0</formula>
    </cfRule>
  </conditionalFormatting>
  <conditionalFormatting sqref="K32:K38">
    <cfRule type="expression" dxfId="4111" priority="280">
      <formula>$C32&lt;$E$3</formula>
    </cfRule>
  </conditionalFormatting>
  <conditionalFormatting sqref="K32:K38">
    <cfRule type="expression" dxfId="4110" priority="277">
      <formula>$C32=$E$3</formula>
    </cfRule>
    <cfRule type="expression" dxfId="4109" priority="278">
      <formula>$C32&lt;$E$3</formula>
    </cfRule>
    <cfRule type="cellIs" dxfId="4108" priority="279" operator="equal">
      <formula>0</formula>
    </cfRule>
    <cfRule type="expression" dxfId="4107" priority="281">
      <formula>$C32&gt;$E$3</formula>
    </cfRule>
  </conditionalFormatting>
  <conditionalFormatting sqref="K32:K38">
    <cfRule type="expression" dxfId="4106" priority="276">
      <formula>$E32=""</formula>
    </cfRule>
  </conditionalFormatting>
  <conditionalFormatting sqref="K32:K38">
    <cfRule type="expression" dxfId="4105" priority="275">
      <formula>$E32=""</formula>
    </cfRule>
  </conditionalFormatting>
  <conditionalFormatting sqref="K32:K38">
    <cfRule type="expression" dxfId="4104" priority="274">
      <formula>$E32=""</formula>
    </cfRule>
  </conditionalFormatting>
  <conditionalFormatting sqref="K37">
    <cfRule type="expression" dxfId="4103" priority="273">
      <formula>$C37&lt;$E$3</formula>
    </cfRule>
  </conditionalFormatting>
  <conditionalFormatting sqref="K37">
    <cfRule type="expression" dxfId="4102" priority="269">
      <formula>$C37=$E$3</formula>
    </cfRule>
    <cfRule type="expression" dxfId="4101" priority="270">
      <formula>$C37&lt;$E$3</formula>
    </cfRule>
    <cfRule type="cellIs" dxfId="4100" priority="271" operator="equal">
      <formula>0</formula>
    </cfRule>
    <cfRule type="expression" dxfId="4099" priority="272">
      <formula>$C37&gt;$E$3</formula>
    </cfRule>
  </conditionalFormatting>
  <conditionalFormatting sqref="K37">
    <cfRule type="expression" dxfId="4098" priority="268">
      <formula>$C37&lt;$E$3</formula>
    </cfRule>
  </conditionalFormatting>
  <conditionalFormatting sqref="K37">
    <cfRule type="expression" dxfId="4097" priority="264">
      <formula>$C37=$E$3</formula>
    </cfRule>
    <cfRule type="expression" dxfId="4096" priority="265">
      <formula>$C37&lt;$E$3</formula>
    </cfRule>
    <cfRule type="cellIs" dxfId="4095" priority="266" operator="equal">
      <formula>0</formula>
    </cfRule>
    <cfRule type="expression" dxfId="4094" priority="267">
      <formula>$C37&gt;$E$3</formula>
    </cfRule>
  </conditionalFormatting>
  <conditionalFormatting sqref="K37">
    <cfRule type="expression" dxfId="4093" priority="253">
      <formula>$E37=""</formula>
    </cfRule>
  </conditionalFormatting>
  <conditionalFormatting sqref="K37">
    <cfRule type="expression" dxfId="4092" priority="252">
      <formula>$C37&lt;$E$3</formula>
    </cfRule>
  </conditionalFormatting>
  <conditionalFormatting sqref="K37">
    <cfRule type="expression" dxfId="4091" priority="251">
      <formula>$E37=""</formula>
    </cfRule>
  </conditionalFormatting>
  <conditionalFormatting sqref="K37">
    <cfRule type="expression" dxfId="4090" priority="250">
      <formula>$E37=""</formula>
    </cfRule>
  </conditionalFormatting>
  <conditionalFormatting sqref="K37">
    <cfRule type="expression" dxfId="4089" priority="249">
      <formula>$C37&lt;$E$3</formula>
    </cfRule>
  </conditionalFormatting>
  <conditionalFormatting sqref="K37">
    <cfRule type="expression" dxfId="4088" priority="248">
      <formula>$E37=""</formula>
    </cfRule>
  </conditionalFormatting>
  <conditionalFormatting sqref="K37">
    <cfRule type="expression" dxfId="4087" priority="247">
      <formula>$C37&lt;$E$3</formula>
    </cfRule>
  </conditionalFormatting>
  <conditionalFormatting sqref="K37">
    <cfRule type="expression" dxfId="4086" priority="246">
      <formula>$E37=""</formula>
    </cfRule>
  </conditionalFormatting>
  <conditionalFormatting sqref="K37">
    <cfRule type="expression" dxfId="4085" priority="244">
      <formula>$E37=""</formula>
    </cfRule>
  </conditionalFormatting>
  <conditionalFormatting sqref="K37">
    <cfRule type="expression" dxfId="4084" priority="239">
      <formula>$C37=$E$3</formula>
    </cfRule>
    <cfRule type="expression" dxfId="4083" priority="240">
      <formula>$C37&lt;$E$3</formula>
    </cfRule>
    <cfRule type="cellIs" dxfId="4082" priority="241" operator="equal">
      <formula>0</formula>
    </cfRule>
    <cfRule type="expression" dxfId="4081" priority="242">
      <formula>$C37&gt;$E$3</formula>
    </cfRule>
  </conditionalFormatting>
  <conditionalFormatting sqref="K37">
    <cfRule type="expression" dxfId="4080" priority="238">
      <formula>$C37&lt;$E$3</formula>
    </cfRule>
  </conditionalFormatting>
  <conditionalFormatting sqref="K37">
    <cfRule type="expression" dxfId="4079" priority="234">
      <formula>$C37=$E$3</formula>
    </cfRule>
    <cfRule type="expression" dxfId="4078" priority="235">
      <formula>$C37&lt;$E$3</formula>
    </cfRule>
    <cfRule type="cellIs" dxfId="4077" priority="236" operator="equal">
      <formula>0</formula>
    </cfRule>
    <cfRule type="expression" dxfId="4076" priority="237">
      <formula>$C37&gt;$E$3</formula>
    </cfRule>
  </conditionalFormatting>
  <conditionalFormatting sqref="K37">
    <cfRule type="expression" dxfId="4075" priority="223">
      <formula>$E37=""</formula>
    </cfRule>
  </conditionalFormatting>
  <conditionalFormatting sqref="K37">
    <cfRule type="expression" dxfId="4074" priority="222">
      <formula>$C37&lt;$E$3</formula>
    </cfRule>
  </conditionalFormatting>
  <conditionalFormatting sqref="K37">
    <cfRule type="expression" dxfId="4073" priority="221">
      <formula>$E37=""</formula>
    </cfRule>
  </conditionalFormatting>
  <conditionalFormatting sqref="K37">
    <cfRule type="expression" dxfId="4072" priority="220">
      <formula>$E37=""</formula>
    </cfRule>
  </conditionalFormatting>
  <conditionalFormatting sqref="K37">
    <cfRule type="expression" dxfId="4071" priority="219">
      <formula>$C37&lt;$E$3</formula>
    </cfRule>
  </conditionalFormatting>
  <conditionalFormatting sqref="K37">
    <cfRule type="expression" dxfId="4070" priority="218">
      <formula>$E37=""</formula>
    </cfRule>
  </conditionalFormatting>
  <conditionalFormatting sqref="K37">
    <cfRule type="expression" dxfId="4069" priority="217">
      <formula>$C37&lt;$E$3</formula>
    </cfRule>
  </conditionalFormatting>
  <conditionalFormatting sqref="K37">
    <cfRule type="expression" dxfId="4068" priority="216">
      <formula>$E37=""</formula>
    </cfRule>
  </conditionalFormatting>
  <conditionalFormatting sqref="K37">
    <cfRule type="expression" dxfId="4067" priority="214">
      <formula>$E37=""</formula>
    </cfRule>
  </conditionalFormatting>
  <conditionalFormatting sqref="K32:K36">
    <cfRule type="expression" dxfId="4066" priority="209">
      <formula>$C32=$E$3</formula>
    </cfRule>
    <cfRule type="expression" dxfId="4065" priority="210">
      <formula>$C32&lt;$E$3</formula>
    </cfRule>
    <cfRule type="cellIs" dxfId="4064" priority="211" operator="equal">
      <formula>0</formula>
    </cfRule>
    <cfRule type="expression" dxfId="4063" priority="212">
      <formula>$C32&gt;$E$3</formula>
    </cfRule>
  </conditionalFormatting>
  <conditionalFormatting sqref="K32:K36">
    <cfRule type="expression" dxfId="4062" priority="208">
      <formula>$C32&lt;$E$3</formula>
    </cfRule>
  </conditionalFormatting>
  <conditionalFormatting sqref="K32:K36">
    <cfRule type="expression" dxfId="4061" priority="204">
      <formula>$C32=$E$3</formula>
    </cfRule>
    <cfRule type="expression" dxfId="4060" priority="205">
      <formula>$C32&lt;$E$3</formula>
    </cfRule>
    <cfRule type="cellIs" dxfId="4059" priority="206" operator="equal">
      <formula>0</formula>
    </cfRule>
    <cfRule type="expression" dxfId="4058" priority="207">
      <formula>$C32&gt;$E$3</formula>
    </cfRule>
  </conditionalFormatting>
  <conditionalFormatting sqref="K32:K36">
    <cfRule type="expression" dxfId="4057" priority="193">
      <formula>$E32=""</formula>
    </cfRule>
  </conditionalFormatting>
  <conditionalFormatting sqref="K32:K36">
    <cfRule type="expression" dxfId="4056" priority="192">
      <formula>$C32&lt;$E$3</formula>
    </cfRule>
  </conditionalFormatting>
  <conditionalFormatting sqref="K32:K36">
    <cfRule type="expression" dxfId="4055" priority="191">
      <formula>$E32=""</formula>
    </cfRule>
  </conditionalFormatting>
  <conditionalFormatting sqref="K32:K36">
    <cfRule type="expression" dxfId="4054" priority="190">
      <formula>$E32=""</formula>
    </cfRule>
  </conditionalFormatting>
  <conditionalFormatting sqref="K32:K36">
    <cfRule type="expression" dxfId="4053" priority="189">
      <formula>$C32&lt;$E$3</formula>
    </cfRule>
  </conditionalFormatting>
  <conditionalFormatting sqref="K32:K36">
    <cfRule type="expression" dxfId="4052" priority="188">
      <formula>$E32=""</formula>
    </cfRule>
  </conditionalFormatting>
  <conditionalFormatting sqref="K32:K36">
    <cfRule type="expression" dxfId="4051" priority="187">
      <formula>$C32&lt;$E$3</formula>
    </cfRule>
  </conditionalFormatting>
  <conditionalFormatting sqref="K32:K36">
    <cfRule type="expression" dxfId="4050" priority="186">
      <formula>$E32=""</formula>
    </cfRule>
  </conditionalFormatting>
  <conditionalFormatting sqref="K32:K36">
    <cfRule type="expression" dxfId="4049" priority="184">
      <formula>$E32=""</formula>
    </cfRule>
  </conditionalFormatting>
  <conditionalFormatting sqref="K32:K36">
    <cfRule type="expression" dxfId="4048" priority="179">
      <formula>$C32=$E$3</formula>
    </cfRule>
    <cfRule type="expression" dxfId="4047" priority="180">
      <formula>$C32&lt;$E$3</formula>
    </cfRule>
    <cfRule type="cellIs" dxfId="4046" priority="181" operator="equal">
      <formula>0</formula>
    </cfRule>
    <cfRule type="expression" dxfId="4045" priority="182">
      <formula>$C32&gt;$E$3</formula>
    </cfRule>
  </conditionalFormatting>
  <conditionalFormatting sqref="K32:K36">
    <cfRule type="expression" dxfId="4044" priority="178">
      <formula>$C32&lt;$E$3</formula>
    </cfRule>
  </conditionalFormatting>
  <conditionalFormatting sqref="K32:K36">
    <cfRule type="expression" dxfId="4043" priority="174">
      <formula>$C32=$E$3</formula>
    </cfRule>
    <cfRule type="expression" dxfId="4042" priority="175">
      <formula>$C32&lt;$E$3</formula>
    </cfRule>
    <cfRule type="cellIs" dxfId="4041" priority="176" operator="equal">
      <formula>0</formula>
    </cfRule>
    <cfRule type="expression" dxfId="4040" priority="177">
      <formula>$C32&gt;$E$3</formula>
    </cfRule>
  </conditionalFormatting>
  <conditionalFormatting sqref="K32:K36">
    <cfRule type="expression" dxfId="4039" priority="173">
      <formula>$C32&lt;$E$3</formula>
    </cfRule>
  </conditionalFormatting>
  <conditionalFormatting sqref="K32:K36">
    <cfRule type="expression" dxfId="4038" priority="169">
      <formula>$C32=$E$3</formula>
    </cfRule>
    <cfRule type="expression" dxfId="4037" priority="170">
      <formula>$C32&lt;$E$3</formula>
    </cfRule>
    <cfRule type="cellIs" dxfId="4036" priority="171" operator="equal">
      <formula>0</formula>
    </cfRule>
    <cfRule type="expression" dxfId="4035" priority="172">
      <formula>$C32&gt;$E$3</formula>
    </cfRule>
  </conditionalFormatting>
  <conditionalFormatting sqref="K32:K36">
    <cfRule type="expression" dxfId="4034" priority="168">
      <formula>$C32&lt;$E$3</formula>
    </cfRule>
  </conditionalFormatting>
  <conditionalFormatting sqref="K32:K36">
    <cfRule type="expression" dxfId="4033" priority="164">
      <formula>$C32=$E$3</formula>
    </cfRule>
    <cfRule type="expression" dxfId="4032" priority="165">
      <formula>$C32&lt;$E$3</formula>
    </cfRule>
    <cfRule type="cellIs" dxfId="4031" priority="166" operator="equal">
      <formula>0</formula>
    </cfRule>
    <cfRule type="expression" dxfId="4030" priority="167">
      <formula>$C32&gt;$E$3</formula>
    </cfRule>
  </conditionalFormatting>
  <conditionalFormatting sqref="K32:K36">
    <cfRule type="expression" dxfId="4029" priority="163">
      <formula>$E32=""</formula>
    </cfRule>
  </conditionalFormatting>
  <conditionalFormatting sqref="K32:K36">
    <cfRule type="expression" dxfId="4028" priority="162">
      <formula>$C32&lt;$E$3</formula>
    </cfRule>
  </conditionalFormatting>
  <conditionalFormatting sqref="K32:K36">
    <cfRule type="expression" dxfId="4027" priority="161">
      <formula>$E32=""</formula>
    </cfRule>
  </conditionalFormatting>
  <conditionalFormatting sqref="K32:K36">
    <cfRule type="expression" dxfId="4026" priority="160">
      <formula>$E32=""</formula>
    </cfRule>
  </conditionalFormatting>
  <conditionalFormatting sqref="K32:K36">
    <cfRule type="expression" dxfId="4025" priority="159">
      <formula>$C32&lt;$E$3</formula>
    </cfRule>
  </conditionalFormatting>
  <conditionalFormatting sqref="K32:K36">
    <cfRule type="expression" dxfId="4024" priority="158">
      <formula>$E32=""</formula>
    </cfRule>
  </conditionalFormatting>
  <conditionalFormatting sqref="K32:K36">
    <cfRule type="expression" dxfId="4023" priority="157">
      <formula>$C32&lt;$E$3</formula>
    </cfRule>
  </conditionalFormatting>
  <conditionalFormatting sqref="K32:K36">
    <cfRule type="expression" dxfId="4022" priority="156">
      <formula>$E32=""</formula>
    </cfRule>
  </conditionalFormatting>
  <conditionalFormatting sqref="K32:K36">
    <cfRule type="expression" dxfId="4021" priority="154">
      <formula>$E32=""</formula>
    </cfRule>
  </conditionalFormatting>
  <conditionalFormatting sqref="K32:K38">
    <cfRule type="expression" dxfId="4020" priority="152">
      <formula>$C32&lt;$E$3</formula>
    </cfRule>
  </conditionalFormatting>
  <conditionalFormatting sqref="K32:K38">
    <cfRule type="expression" dxfId="4019" priority="149">
      <formula>$C32=$E$3</formula>
    </cfRule>
    <cfRule type="expression" dxfId="4018" priority="150">
      <formula>$C32&lt;$E$3</formula>
    </cfRule>
    <cfRule type="cellIs" dxfId="4017" priority="151" operator="equal">
      <formula>0</formula>
    </cfRule>
    <cfRule type="expression" dxfId="4016" priority="153">
      <formula>$C32&gt;$E$3</formula>
    </cfRule>
  </conditionalFormatting>
  <conditionalFormatting sqref="K32:K38">
    <cfRule type="expression" dxfId="4015" priority="148">
      <formula>$E32=""</formula>
    </cfRule>
  </conditionalFormatting>
  <conditionalFormatting sqref="K32:K38">
    <cfRule type="expression" dxfId="4014" priority="147">
      <formula>$E32=""</formula>
    </cfRule>
  </conditionalFormatting>
  <conditionalFormatting sqref="K32:K38">
    <cfRule type="expression" dxfId="4013" priority="146">
      <formula>$E32=""</formula>
    </cfRule>
  </conditionalFormatting>
  <conditionalFormatting sqref="K41:K47">
    <cfRule type="cellIs" dxfId="4012" priority="145" stopIfTrue="1" operator="lessThan">
      <formula>0</formula>
    </cfRule>
  </conditionalFormatting>
  <conditionalFormatting sqref="K41:K47">
    <cfRule type="expression" dxfId="4011" priority="143">
      <formula>$C41&lt;$E$3</formula>
    </cfRule>
  </conditionalFormatting>
  <conditionalFormatting sqref="K41:K47">
    <cfRule type="expression" dxfId="4010" priority="140">
      <formula>$C41=$E$3</formula>
    </cfRule>
    <cfRule type="expression" dxfId="4009" priority="141">
      <formula>$C41&lt;$E$3</formula>
    </cfRule>
    <cfRule type="cellIs" dxfId="4008" priority="142" operator="equal">
      <formula>0</formula>
    </cfRule>
    <cfRule type="expression" dxfId="4007" priority="144">
      <formula>$C41&gt;$E$3</formula>
    </cfRule>
  </conditionalFormatting>
  <conditionalFormatting sqref="K41:K47">
    <cfRule type="expression" dxfId="4006" priority="139">
      <formula>$E41=""</formula>
    </cfRule>
  </conditionalFormatting>
  <conditionalFormatting sqref="K41:K47">
    <cfRule type="expression" dxfId="4005" priority="138">
      <formula>$E41=""</formula>
    </cfRule>
  </conditionalFormatting>
  <conditionalFormatting sqref="K41:K47">
    <cfRule type="expression" dxfId="4004" priority="137">
      <formula>$E41=""</formula>
    </cfRule>
  </conditionalFormatting>
  <conditionalFormatting sqref="K46">
    <cfRule type="expression" dxfId="4003" priority="136">
      <formula>$C46&lt;$E$3</formula>
    </cfRule>
  </conditionalFormatting>
  <conditionalFormatting sqref="K46">
    <cfRule type="expression" dxfId="4002" priority="132">
      <formula>$C46=$E$3</formula>
    </cfRule>
    <cfRule type="expression" dxfId="4001" priority="133">
      <formula>$C46&lt;$E$3</formula>
    </cfRule>
    <cfRule type="cellIs" dxfId="4000" priority="134" operator="equal">
      <formula>0</formula>
    </cfRule>
    <cfRule type="expression" dxfId="3999" priority="135">
      <formula>$C46&gt;$E$3</formula>
    </cfRule>
  </conditionalFormatting>
  <conditionalFormatting sqref="K46">
    <cfRule type="expression" dxfId="3998" priority="131">
      <formula>$C46&lt;$E$3</formula>
    </cfRule>
  </conditionalFormatting>
  <conditionalFormatting sqref="K46">
    <cfRule type="expression" dxfId="3997" priority="127">
      <formula>$C46=$E$3</formula>
    </cfRule>
    <cfRule type="expression" dxfId="3996" priority="128">
      <formula>$C46&lt;$E$3</formula>
    </cfRule>
    <cfRule type="cellIs" dxfId="3995" priority="129" operator="equal">
      <formula>0</formula>
    </cfRule>
    <cfRule type="expression" dxfId="3994" priority="130">
      <formula>$C46&gt;$E$3</formula>
    </cfRule>
  </conditionalFormatting>
  <conditionalFormatting sqref="K46">
    <cfRule type="expression" dxfId="3993" priority="126">
      <formula>$C46&lt;$E$3</formula>
    </cfRule>
  </conditionalFormatting>
  <conditionalFormatting sqref="K46">
    <cfRule type="expression" dxfId="3992" priority="122">
      <formula>$C46=$E$3</formula>
    </cfRule>
    <cfRule type="expression" dxfId="3991" priority="123">
      <formula>$C46&lt;$E$3</formula>
    </cfRule>
    <cfRule type="cellIs" dxfId="3990" priority="124" operator="equal">
      <formula>0</formula>
    </cfRule>
    <cfRule type="expression" dxfId="3989" priority="125">
      <formula>$C46&gt;$E$3</formula>
    </cfRule>
  </conditionalFormatting>
  <conditionalFormatting sqref="K46">
    <cfRule type="expression" dxfId="3988" priority="121">
      <formula>$C46&lt;$E$3</formula>
    </cfRule>
  </conditionalFormatting>
  <conditionalFormatting sqref="K46">
    <cfRule type="expression" dxfId="3987" priority="117">
      <formula>$C46=$E$3</formula>
    </cfRule>
    <cfRule type="expression" dxfId="3986" priority="118">
      <formula>$C46&lt;$E$3</formula>
    </cfRule>
    <cfRule type="cellIs" dxfId="3985" priority="119" operator="equal">
      <formula>0</formula>
    </cfRule>
    <cfRule type="expression" dxfId="3984" priority="120">
      <formula>$C46&gt;$E$3</formula>
    </cfRule>
  </conditionalFormatting>
  <conditionalFormatting sqref="K46">
    <cfRule type="expression" dxfId="3983" priority="116">
      <formula>$E46=""</formula>
    </cfRule>
  </conditionalFormatting>
  <conditionalFormatting sqref="K46">
    <cfRule type="expression" dxfId="3982" priority="115">
      <formula>$C46&lt;$E$3</formula>
    </cfRule>
  </conditionalFormatting>
  <conditionalFormatting sqref="K46">
    <cfRule type="expression" dxfId="3981" priority="114">
      <formula>$E46=""</formula>
    </cfRule>
  </conditionalFormatting>
  <conditionalFormatting sqref="K46">
    <cfRule type="expression" dxfId="3980" priority="113">
      <formula>$E46=""</formula>
    </cfRule>
  </conditionalFormatting>
  <conditionalFormatting sqref="K46">
    <cfRule type="expression" dxfId="3979" priority="112">
      <formula>$C46&lt;$E$3</formula>
    </cfRule>
  </conditionalFormatting>
  <conditionalFormatting sqref="K46">
    <cfRule type="expression" dxfId="3978" priority="111">
      <formula>$E46=""</formula>
    </cfRule>
  </conditionalFormatting>
  <conditionalFormatting sqref="K46">
    <cfRule type="expression" dxfId="3977" priority="110">
      <formula>$C46&lt;$E$3</formula>
    </cfRule>
  </conditionalFormatting>
  <conditionalFormatting sqref="K46">
    <cfRule type="expression" dxfId="3976" priority="109">
      <formula>$E46=""</formula>
    </cfRule>
  </conditionalFormatting>
  <conditionalFormatting sqref="K46">
    <cfRule type="expression" dxfId="3975" priority="107">
      <formula>$E46=""</formula>
    </cfRule>
  </conditionalFormatting>
  <conditionalFormatting sqref="K46">
    <cfRule type="expression" dxfId="3974" priority="102">
      <formula>$C46=$E$3</formula>
    </cfRule>
    <cfRule type="expression" dxfId="3973" priority="103">
      <formula>$C46&lt;$E$3</formula>
    </cfRule>
    <cfRule type="cellIs" dxfId="3972" priority="104" operator="equal">
      <formula>0</formula>
    </cfRule>
    <cfRule type="expression" dxfId="3971" priority="105">
      <formula>$C46&gt;$E$3</formula>
    </cfRule>
  </conditionalFormatting>
  <conditionalFormatting sqref="K46">
    <cfRule type="expression" dxfId="3970" priority="101">
      <formula>$C46&lt;$E$3</formula>
    </cfRule>
  </conditionalFormatting>
  <conditionalFormatting sqref="K46">
    <cfRule type="expression" dxfId="3969" priority="97">
      <formula>$C46=$E$3</formula>
    </cfRule>
    <cfRule type="expression" dxfId="3968" priority="98">
      <formula>$C46&lt;$E$3</formula>
    </cfRule>
    <cfRule type="cellIs" dxfId="3967" priority="99" operator="equal">
      <formula>0</formula>
    </cfRule>
    <cfRule type="expression" dxfId="3966" priority="100">
      <formula>$C46&gt;$E$3</formula>
    </cfRule>
  </conditionalFormatting>
  <conditionalFormatting sqref="K46">
    <cfRule type="expression" dxfId="3965" priority="96">
      <formula>$C46&lt;$E$3</formula>
    </cfRule>
  </conditionalFormatting>
  <conditionalFormatting sqref="K46">
    <cfRule type="expression" dxfId="3964" priority="92">
      <formula>$C46=$E$3</formula>
    </cfRule>
    <cfRule type="expression" dxfId="3963" priority="93">
      <formula>$C46&lt;$E$3</formula>
    </cfRule>
    <cfRule type="cellIs" dxfId="3962" priority="94" operator="equal">
      <formula>0</formula>
    </cfRule>
    <cfRule type="expression" dxfId="3961" priority="95">
      <formula>$C46&gt;$E$3</formula>
    </cfRule>
  </conditionalFormatting>
  <conditionalFormatting sqref="K46">
    <cfRule type="expression" dxfId="3960" priority="91">
      <formula>$C46&lt;$E$3</formula>
    </cfRule>
  </conditionalFormatting>
  <conditionalFormatting sqref="K46">
    <cfRule type="expression" dxfId="3959" priority="87">
      <formula>$C46=$E$3</formula>
    </cfRule>
    <cfRule type="expression" dxfId="3958" priority="88">
      <formula>$C46&lt;$E$3</formula>
    </cfRule>
    <cfRule type="cellIs" dxfId="3957" priority="89" operator="equal">
      <formula>0</formula>
    </cfRule>
    <cfRule type="expression" dxfId="3956" priority="90">
      <formula>$C46&gt;$E$3</formula>
    </cfRule>
  </conditionalFormatting>
  <conditionalFormatting sqref="K46">
    <cfRule type="expression" dxfId="3955" priority="86">
      <formula>$E46=""</formula>
    </cfRule>
  </conditionalFormatting>
  <conditionalFormatting sqref="K46">
    <cfRule type="expression" dxfId="3954" priority="85">
      <formula>$C46&lt;$E$3</formula>
    </cfRule>
  </conditionalFormatting>
  <conditionalFormatting sqref="K46">
    <cfRule type="expression" dxfId="3953" priority="84">
      <formula>$E46=""</formula>
    </cfRule>
  </conditionalFormatting>
  <conditionalFormatting sqref="K46">
    <cfRule type="expression" dxfId="3952" priority="83">
      <formula>$E46=""</formula>
    </cfRule>
  </conditionalFormatting>
  <conditionalFormatting sqref="K46">
    <cfRule type="expression" dxfId="3951" priority="82">
      <formula>$C46&lt;$E$3</formula>
    </cfRule>
  </conditionalFormatting>
  <conditionalFormatting sqref="K46">
    <cfRule type="expression" dxfId="3950" priority="81">
      <formula>$E46=""</formula>
    </cfRule>
  </conditionalFormatting>
  <conditionalFormatting sqref="K46">
    <cfRule type="expression" dxfId="3949" priority="80">
      <formula>$C46&lt;$E$3</formula>
    </cfRule>
  </conditionalFormatting>
  <conditionalFormatting sqref="K46">
    <cfRule type="expression" dxfId="3948" priority="79">
      <formula>$E46=""</formula>
    </cfRule>
  </conditionalFormatting>
  <conditionalFormatting sqref="K46">
    <cfRule type="expression" dxfId="3947" priority="77">
      <formula>$E46=""</formula>
    </cfRule>
  </conditionalFormatting>
  <conditionalFormatting sqref="K41:K45">
    <cfRule type="expression" dxfId="3946" priority="72">
      <formula>$C41=$E$3</formula>
    </cfRule>
    <cfRule type="expression" dxfId="3945" priority="73">
      <formula>$C41&lt;$E$3</formula>
    </cfRule>
    <cfRule type="cellIs" dxfId="3944" priority="74" operator="equal">
      <formula>0</formula>
    </cfRule>
    <cfRule type="expression" dxfId="3943" priority="75">
      <formula>$C41&gt;$E$3</formula>
    </cfRule>
  </conditionalFormatting>
  <conditionalFormatting sqref="K41:K45">
    <cfRule type="expression" dxfId="3942" priority="71">
      <formula>$C41&lt;$E$3</formula>
    </cfRule>
  </conditionalFormatting>
  <conditionalFormatting sqref="K41:K45">
    <cfRule type="expression" dxfId="3941" priority="67">
      <formula>$C41=$E$3</formula>
    </cfRule>
    <cfRule type="expression" dxfId="3940" priority="68">
      <formula>$C41&lt;$E$3</formula>
    </cfRule>
    <cfRule type="cellIs" dxfId="3939" priority="69" operator="equal">
      <formula>0</formula>
    </cfRule>
    <cfRule type="expression" dxfId="3938" priority="70">
      <formula>$C41&gt;$E$3</formula>
    </cfRule>
  </conditionalFormatting>
  <conditionalFormatting sqref="K41:K45">
    <cfRule type="expression" dxfId="3937" priority="66">
      <formula>$C41&lt;$E$3</formula>
    </cfRule>
  </conditionalFormatting>
  <conditionalFormatting sqref="K41:K45">
    <cfRule type="expression" dxfId="3936" priority="62">
      <formula>$C41=$E$3</formula>
    </cfRule>
    <cfRule type="expression" dxfId="3935" priority="63">
      <formula>$C41&lt;$E$3</formula>
    </cfRule>
    <cfRule type="cellIs" dxfId="3934" priority="64" operator="equal">
      <formula>0</formula>
    </cfRule>
    <cfRule type="expression" dxfId="3933" priority="65">
      <formula>$C41&gt;$E$3</formula>
    </cfRule>
  </conditionalFormatting>
  <conditionalFormatting sqref="K41:K45">
    <cfRule type="expression" dxfId="3932" priority="61">
      <formula>$C41&lt;$E$3</formula>
    </cfRule>
  </conditionalFormatting>
  <conditionalFormatting sqref="K41:K45">
    <cfRule type="expression" dxfId="3931" priority="57">
      <formula>$C41=$E$3</formula>
    </cfRule>
    <cfRule type="expression" dxfId="3930" priority="58">
      <formula>$C41&lt;$E$3</formula>
    </cfRule>
    <cfRule type="cellIs" dxfId="3929" priority="59" operator="equal">
      <formula>0</formula>
    </cfRule>
    <cfRule type="expression" dxfId="3928" priority="60">
      <formula>$C41&gt;$E$3</formula>
    </cfRule>
  </conditionalFormatting>
  <conditionalFormatting sqref="K41:K45">
    <cfRule type="expression" dxfId="3927" priority="56">
      <formula>$E41=""</formula>
    </cfRule>
  </conditionalFormatting>
  <conditionalFormatting sqref="K41:K45">
    <cfRule type="expression" dxfId="3926" priority="55">
      <formula>$C41&lt;$E$3</formula>
    </cfRule>
  </conditionalFormatting>
  <conditionalFormatting sqref="K41:K45">
    <cfRule type="expression" dxfId="3925" priority="54">
      <formula>$E41=""</formula>
    </cfRule>
  </conditionalFormatting>
  <conditionalFormatting sqref="K41:K45">
    <cfRule type="expression" dxfId="3924" priority="53">
      <formula>$E41=""</formula>
    </cfRule>
  </conditionalFormatting>
  <conditionalFormatting sqref="K41:K45">
    <cfRule type="expression" dxfId="3923" priority="52">
      <formula>$C41&lt;$E$3</formula>
    </cfRule>
  </conditionalFormatting>
  <conditionalFormatting sqref="K41:K45">
    <cfRule type="expression" dxfId="3922" priority="51">
      <formula>$E41=""</formula>
    </cfRule>
  </conditionalFormatting>
  <conditionalFormatting sqref="K41:K45">
    <cfRule type="expression" dxfId="3921" priority="50">
      <formula>$C41&lt;$E$3</formula>
    </cfRule>
  </conditionalFormatting>
  <conditionalFormatting sqref="K41:K45">
    <cfRule type="expression" dxfId="3920" priority="49">
      <formula>$E41=""</formula>
    </cfRule>
  </conditionalFormatting>
  <conditionalFormatting sqref="K41:K45">
    <cfRule type="expression" dxfId="3919" priority="47">
      <formula>$E41=""</formula>
    </cfRule>
  </conditionalFormatting>
  <conditionalFormatting sqref="K41:K45">
    <cfRule type="expression" dxfId="3918" priority="42">
      <formula>$C41=$E$3</formula>
    </cfRule>
    <cfRule type="expression" dxfId="3917" priority="43">
      <formula>$C41&lt;$E$3</formula>
    </cfRule>
    <cfRule type="cellIs" dxfId="3916" priority="44" operator="equal">
      <formula>0</formula>
    </cfRule>
    <cfRule type="expression" dxfId="3915" priority="45">
      <formula>$C41&gt;$E$3</formula>
    </cfRule>
  </conditionalFormatting>
  <conditionalFormatting sqref="K41:K45">
    <cfRule type="expression" dxfId="3914" priority="41">
      <formula>$C41&lt;$E$3</formula>
    </cfRule>
  </conditionalFormatting>
  <conditionalFormatting sqref="K41:K45">
    <cfRule type="expression" dxfId="3913" priority="37">
      <formula>$C41=$E$3</formula>
    </cfRule>
    <cfRule type="expression" dxfId="3912" priority="38">
      <formula>$C41&lt;$E$3</formula>
    </cfRule>
    <cfRule type="cellIs" dxfId="3911" priority="39" operator="equal">
      <formula>0</formula>
    </cfRule>
    <cfRule type="expression" dxfId="3910" priority="40">
      <formula>$C41&gt;$E$3</formula>
    </cfRule>
  </conditionalFormatting>
  <conditionalFormatting sqref="K41:K45">
    <cfRule type="expression" dxfId="3909" priority="36">
      <formula>$C41&lt;$E$3</formula>
    </cfRule>
  </conditionalFormatting>
  <conditionalFormatting sqref="K41:K45">
    <cfRule type="expression" dxfId="3908" priority="32">
      <formula>$C41=$E$3</formula>
    </cfRule>
    <cfRule type="expression" dxfId="3907" priority="33">
      <formula>$C41&lt;$E$3</formula>
    </cfRule>
    <cfRule type="cellIs" dxfId="3906" priority="34" operator="equal">
      <formula>0</formula>
    </cfRule>
    <cfRule type="expression" dxfId="3905" priority="35">
      <formula>$C41&gt;$E$3</formula>
    </cfRule>
  </conditionalFormatting>
  <conditionalFormatting sqref="K41:K45">
    <cfRule type="expression" dxfId="3904" priority="31">
      <formula>$C41&lt;$E$3</formula>
    </cfRule>
  </conditionalFormatting>
  <conditionalFormatting sqref="K41:K45">
    <cfRule type="expression" dxfId="3903" priority="27">
      <formula>$C41=$E$3</formula>
    </cfRule>
    <cfRule type="expression" dxfId="3902" priority="28">
      <formula>$C41&lt;$E$3</formula>
    </cfRule>
    <cfRule type="cellIs" dxfId="3901" priority="29" operator="equal">
      <formula>0</formula>
    </cfRule>
    <cfRule type="expression" dxfId="3900" priority="30">
      <formula>$C41&gt;$E$3</formula>
    </cfRule>
  </conditionalFormatting>
  <conditionalFormatting sqref="K41:K45">
    <cfRule type="expression" dxfId="3899" priority="26">
      <formula>$E41=""</formula>
    </cfRule>
  </conditionalFormatting>
  <conditionalFormatting sqref="K41:K45">
    <cfRule type="expression" dxfId="3898" priority="25">
      <formula>$C41&lt;$E$3</formula>
    </cfRule>
  </conditionalFormatting>
  <conditionalFormatting sqref="K41:K45">
    <cfRule type="expression" dxfId="3897" priority="24">
      <formula>$E41=""</formula>
    </cfRule>
  </conditionalFormatting>
  <conditionalFormatting sqref="K41:K45">
    <cfRule type="expression" dxfId="3896" priority="23">
      <formula>$E41=""</formula>
    </cfRule>
  </conditionalFormatting>
  <conditionalFormatting sqref="K41:K45">
    <cfRule type="expression" dxfId="3895" priority="22">
      <formula>$C41&lt;$E$3</formula>
    </cfRule>
  </conditionalFormatting>
  <conditionalFormatting sqref="K41:K45">
    <cfRule type="expression" dxfId="3894" priority="21">
      <formula>$E41=""</formula>
    </cfRule>
  </conditionalFormatting>
  <conditionalFormatting sqref="K41:K45">
    <cfRule type="expression" dxfId="3893" priority="20">
      <formula>$C41&lt;$E$3</formula>
    </cfRule>
  </conditionalFormatting>
  <conditionalFormatting sqref="K41:K45">
    <cfRule type="expression" dxfId="3892" priority="19">
      <formula>$E41=""</formula>
    </cfRule>
  </conditionalFormatting>
  <conditionalFormatting sqref="K41:K45">
    <cfRule type="expression" dxfId="3891" priority="17">
      <formula>$E41=""</formula>
    </cfRule>
  </conditionalFormatting>
  <conditionalFormatting sqref="K41:K47">
    <cfRule type="expression" dxfId="3890" priority="15">
      <formula>$C41&lt;$E$3</formula>
    </cfRule>
  </conditionalFormatting>
  <conditionalFormatting sqref="K41:K47">
    <cfRule type="expression" dxfId="3889" priority="12">
      <formula>$C41=$E$3</formula>
    </cfRule>
    <cfRule type="expression" dxfId="3888" priority="13">
      <formula>$C41&lt;$E$3</formula>
    </cfRule>
    <cfRule type="cellIs" dxfId="3887" priority="14" operator="equal">
      <formula>0</formula>
    </cfRule>
    <cfRule type="expression" dxfId="3886" priority="16">
      <formula>$C41&gt;$E$3</formula>
    </cfRule>
  </conditionalFormatting>
  <conditionalFormatting sqref="K41:K47">
    <cfRule type="expression" dxfId="3885" priority="11">
      <formula>$E41=""</formula>
    </cfRule>
  </conditionalFormatting>
  <conditionalFormatting sqref="K41:K47">
    <cfRule type="expression" dxfId="3884" priority="10">
      <formula>$E41=""</formula>
    </cfRule>
  </conditionalFormatting>
  <conditionalFormatting sqref="K41:K47">
    <cfRule type="expression" dxfId="3883" priority="9">
      <formula>$E41=""</formula>
    </cfRule>
  </conditionalFormatting>
  <conditionalFormatting sqref="N20 N18 N16">
    <cfRule type="cellIs" dxfId="3882" priority="8" stopIfTrue="1" operator="lessThan">
      <formula>0</formula>
    </cfRule>
  </conditionalFormatting>
  <conditionalFormatting sqref="N23 N27:N28">
    <cfRule type="cellIs" dxfId="3881" priority="7" stopIfTrue="1" operator="lessThan">
      <formula>0</formula>
    </cfRule>
  </conditionalFormatting>
  <conditionalFormatting sqref="N32:N34 N36 N38">
    <cfRule type="cellIs" dxfId="3880" priority="6" stopIfTrue="1" operator="lessThan">
      <formula>0</formula>
    </cfRule>
  </conditionalFormatting>
  <conditionalFormatting sqref="N41:N47">
    <cfRule type="cellIs" dxfId="3879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autoPageBreaks="0"/>
  </sheetPr>
  <dimension ref="A1:AH68"/>
  <sheetViews>
    <sheetView workbookViewId="0">
      <selection activeCell="H6" sqref="H6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8.1640625" customWidth="1"/>
    <col min="11" max="11" width="8.1640625" hidden="1" customWidth="1"/>
    <col min="12" max="12" width="8.16406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1" width="10.33203125" bestFit="1" customWidth="1"/>
    <col min="33" max="33" width="10.6640625" bestFit="1" customWidth="1"/>
  </cols>
  <sheetData>
    <row r="1" spans="1:34" ht="53" customHeight="1" thickBot="1">
      <c r="A1" s="176">
        <v>10</v>
      </c>
      <c r="B1" s="40" t="s">
        <v>0</v>
      </c>
      <c r="C1" s="41"/>
      <c r="D1" s="41"/>
      <c r="E1" s="193" t="str">
        <f>VLOOKUP(A1,'MY STATS'!$B$32:$E$43,4)</f>
        <v>Oct.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168" t="s">
        <v>25</v>
      </c>
      <c r="P1" s="170" t="s">
        <v>26</v>
      </c>
      <c r="Q1" s="170" t="s">
        <v>26</v>
      </c>
      <c r="R1" s="181" t="s">
        <v>32</v>
      </c>
      <c r="S1" s="194" t="s">
        <v>115</v>
      </c>
      <c r="T1" s="181"/>
      <c r="U1" s="181"/>
      <c r="V1" s="181" t="s">
        <v>84</v>
      </c>
      <c r="W1" s="181" t="s">
        <v>85</v>
      </c>
      <c r="X1" s="170" t="s">
        <v>24</v>
      </c>
      <c r="Y1" s="170" t="s">
        <v>21</v>
      </c>
      <c r="Z1" s="170" t="s">
        <v>22</v>
      </c>
      <c r="AA1" s="182" t="s">
        <v>23</v>
      </c>
      <c r="AB1" s="79"/>
      <c r="AC1" s="79"/>
      <c r="AD1" s="76"/>
      <c r="AE1" s="76"/>
    </row>
    <row r="2" spans="1:34" ht="36" hidden="1" thickTop="1" thickBot="1">
      <c r="A2" s="54" t="s">
        <v>64</v>
      </c>
      <c r="B2" s="21">
        <f>VLOOKUP(A1,'MY STATS'!$B$32:$G$43,3)</f>
        <v>45566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183"/>
      <c r="P2" s="79"/>
      <c r="Q2" s="79"/>
      <c r="R2" s="184">
        <f>'MY STATS'!A16</f>
        <v>3</v>
      </c>
      <c r="S2" s="184"/>
      <c r="T2" s="184"/>
      <c r="U2" s="184"/>
      <c r="V2" s="184"/>
      <c r="W2" s="184"/>
      <c r="X2" s="79"/>
      <c r="Y2" s="79"/>
      <c r="Z2" s="95"/>
      <c r="AA2" s="95"/>
      <c r="AB2" s="79"/>
      <c r="AC2" s="79"/>
      <c r="AD2" s="76"/>
      <c r="AE2" s="76"/>
    </row>
    <row r="3" spans="1:34" ht="18" hidden="1" thickTop="1" thickBot="1">
      <c r="A3" s="75">
        <f>'MY STATS'!D44</f>
        <v>45658</v>
      </c>
      <c r="B3" s="21">
        <f>VLOOKUP(A1+1,'MY STATS'!$B$32:$G$44,3)-1</f>
        <v>45596</v>
      </c>
      <c r="C3" s="21">
        <f>VLOOKUP(A1,'MY STATS'!$B$32:$G$43,2)</f>
        <v>45565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183"/>
      <c r="P3" s="79"/>
      <c r="Q3" s="79"/>
      <c r="R3" s="184"/>
      <c r="S3" s="184"/>
      <c r="T3" s="184"/>
      <c r="U3" s="184"/>
      <c r="V3" s="184"/>
      <c r="W3" s="184"/>
      <c r="X3" s="79"/>
      <c r="Y3" s="79"/>
      <c r="Z3" s="95"/>
      <c r="AA3" s="95"/>
      <c r="AB3" s="79"/>
      <c r="AC3" s="79"/>
      <c r="AD3" s="76"/>
      <c r="AE3" s="76"/>
    </row>
    <row r="4" spans="1:34" ht="1" customHeight="1" thickTop="1" thickBot="1">
      <c r="A4"/>
      <c r="C4" s="28">
        <f>C3-1</f>
        <v>45564</v>
      </c>
      <c r="D4"/>
      <c r="O4" s="185"/>
      <c r="P4" s="172">
        <f t="shared" ref="P4:P11" si="0">H$56</f>
        <v>138281.6904026657</v>
      </c>
      <c r="Q4" s="128">
        <f>IF(R$2=3,P4,IF(R$2=2,P4*1.0936,IF(R$2=1,P4*0.000568181818*1.0936133,"")))</f>
        <v>138281.6904026657</v>
      </c>
      <c r="R4" s="169"/>
      <c r="S4" s="169"/>
      <c r="T4" s="169"/>
      <c r="U4" s="169"/>
      <c r="V4" s="169"/>
      <c r="W4" s="169"/>
      <c r="X4" s="172"/>
      <c r="Y4" s="172"/>
      <c r="Z4" s="171">
        <v>0</v>
      </c>
      <c r="AA4" s="95"/>
      <c r="AB4" s="79">
        <v>0</v>
      </c>
      <c r="AC4" s="79"/>
      <c r="AD4" s="76"/>
      <c r="AE4" s="76"/>
    </row>
    <row r="5" spans="1:34">
      <c r="A5" s="22"/>
      <c r="B5" s="19">
        <f>IF(B$2&gt;C5,0,C5)</f>
        <v>0</v>
      </c>
      <c r="C5" s="28">
        <f>C3</f>
        <v>45565</v>
      </c>
      <c r="D5" s="20">
        <f t="shared" ref="D5:D51" ca="1" si="1">TODAY()-C5</f>
        <v>-274</v>
      </c>
      <c r="E5" s="91" t="str">
        <f>IF(B5=0,"","Monday")</f>
        <v/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71" t="str">
        <f t="shared" ref="O5:O51" si="3">IF(B5=0,"",(F$3-G$3)/(A$3-B$2)+0.1)</f>
        <v/>
      </c>
      <c r="P5" s="172">
        <f t="shared" si="0"/>
        <v>138281.6904026657</v>
      </c>
      <c r="Q5" s="128">
        <f t="shared" ref="Q5:Q51" si="4">IF(R$2=3,P5,IF(R$2=2,P5*1.0936,IF(R$2=1,P5*0.000568181818*1.0936133,"")))</f>
        <v>138281.6904026657</v>
      </c>
      <c r="R5" s="128">
        <f>IF(R$2=3,H5+G5/1.0936133+F5/0.0006213712,IF(R$2=2,H5*1.0936133+G5+F5/0.0005681818,IF(R$2=1,H5*0.0005681818*1.0936133+G5*0.0005681818+F5,"")))</f>
        <v>0</v>
      </c>
      <c r="S5" s="195" t="str">
        <f>IF(R5=0,"",R5*IF(L5&gt;0,1,0))</f>
        <v/>
      </c>
      <c r="T5" s="128"/>
      <c r="U5" s="128"/>
      <c r="V5" s="129" t="str">
        <f t="shared" ref="V5:V11" si="5">IF(L5="","",IF(R5=0,"",IF(B5=0,"",IF($R$2=3,R5/L5*60/1000,IF($R$2=2,R5/L5*60/1760,IF($R$2=1,R5/L5*60,""))))))</f>
        <v/>
      </c>
      <c r="W5" s="129" t="str">
        <f t="shared" ref="W5:W11" si="6">IF(R5=0,"",IF(L5="","",V5*L5))</f>
        <v/>
      </c>
      <c r="X5" s="171">
        <f t="shared" ref="X5:Z11" si="7">F5+X4</f>
        <v>0</v>
      </c>
      <c r="Y5" s="171">
        <f t="shared" si="7"/>
        <v>0</v>
      </c>
      <c r="Z5" s="171">
        <f t="shared" si="7"/>
        <v>0</v>
      </c>
      <c r="AA5" s="186">
        <f t="shared" ref="AA5:AA51" si="8">Z5/1000+Y5/1093.6133+X5/0.621371192</f>
        <v>0</v>
      </c>
      <c r="AB5" s="187">
        <f>R5</f>
        <v>0</v>
      </c>
      <c r="AC5" s="79"/>
      <c r="AD5" s="76"/>
      <c r="AE5" s="76"/>
    </row>
    <row r="6" spans="1:34">
      <c r="A6" s="23"/>
      <c r="B6" s="4">
        <f t="shared" ref="B6:B11" si="9">IF(B$2&gt;C6,0,C6)</f>
        <v>45566</v>
      </c>
      <c r="C6" s="29">
        <f>C3+1</f>
        <v>45566</v>
      </c>
      <c r="D6" s="6">
        <f t="shared" ca="1" si="1"/>
        <v>-275</v>
      </c>
      <c r="E6" s="90" t="str">
        <f>IF(B6=0,"","Tuesday")</f>
        <v>Tuesday</v>
      </c>
      <c r="F6" s="45"/>
      <c r="G6" s="46"/>
      <c r="H6" s="46"/>
      <c r="I6" s="151"/>
      <c r="J6" s="46"/>
      <c r="K6" s="152" t="str">
        <f t="shared" ref="K6:K11" si="10">IF(R6=0,"",IF(L6="","",J6))</f>
        <v/>
      </c>
      <c r="L6" s="46"/>
      <c r="M6" s="46" t="str">
        <f t="shared" si="2"/>
        <v/>
      </c>
      <c r="N6" s="301"/>
      <c r="O6" s="171">
        <f t="shared" si="3"/>
        <v>4460.7817337776169</v>
      </c>
      <c r="P6" s="172">
        <f t="shared" si="0"/>
        <v>138281.6904026657</v>
      </c>
      <c r="Q6" s="128">
        <f t="shared" si="4"/>
        <v>138281.6904026657</v>
      </c>
      <c r="R6" s="128">
        <f t="shared" ref="R6:R11" si="11">IF(R$2=3,H6+G6/1.0936133+F6/0.0006213712,IF(R$2=2,H6*1.0936133+G6+F6/0.0005681818,IF(R$2=1,H6*0.0005681818*1.0936133+G6*0.0005681818+F6,"")))</f>
        <v>0</v>
      </c>
      <c r="S6" s="195" t="str">
        <f t="shared" ref="S6:S51" si="12">IF(R6=0,"",R6*IF(L6&gt;0,1,0))</f>
        <v/>
      </c>
      <c r="T6" s="128"/>
      <c r="U6" s="128"/>
      <c r="V6" s="129" t="str">
        <f t="shared" si="5"/>
        <v/>
      </c>
      <c r="W6" s="129" t="str">
        <f t="shared" si="6"/>
        <v/>
      </c>
      <c r="X6" s="171">
        <f t="shared" si="7"/>
        <v>0</v>
      </c>
      <c r="Y6" s="171">
        <f t="shared" si="7"/>
        <v>0</v>
      </c>
      <c r="Z6" s="171">
        <f t="shared" si="7"/>
        <v>0</v>
      </c>
      <c r="AA6" s="186">
        <f t="shared" si="8"/>
        <v>0</v>
      </c>
      <c r="AB6" s="173">
        <f t="shared" ref="AB6:AB51" si="13">AB5+R6</f>
        <v>0</v>
      </c>
      <c r="AC6" s="79"/>
      <c r="AD6" s="76"/>
      <c r="AE6" s="76"/>
      <c r="AH6" s="9"/>
    </row>
    <row r="7" spans="1:34">
      <c r="A7" s="23"/>
      <c r="B7" s="4">
        <f t="shared" si="9"/>
        <v>45567</v>
      </c>
      <c r="C7" s="29">
        <f>C3+2</f>
        <v>45567</v>
      </c>
      <c r="D7" s="6">
        <f t="shared" ca="1" si="1"/>
        <v>-276</v>
      </c>
      <c r="E7" s="90" t="str">
        <f>IF(B7=0,"","Wednesday")</f>
        <v>Wednesday</v>
      </c>
      <c r="F7" s="45"/>
      <c r="G7" s="46"/>
      <c r="H7" s="46"/>
      <c r="I7" s="151"/>
      <c r="J7" s="46"/>
      <c r="K7" s="152" t="str">
        <f t="shared" si="10"/>
        <v/>
      </c>
      <c r="L7" s="46"/>
      <c r="M7" s="46" t="str">
        <f t="shared" si="2"/>
        <v/>
      </c>
      <c r="N7" s="310"/>
      <c r="O7" s="171">
        <f t="shared" si="3"/>
        <v>4460.7817337776169</v>
      </c>
      <c r="P7" s="172">
        <f t="shared" si="0"/>
        <v>138281.6904026657</v>
      </c>
      <c r="Q7" s="128">
        <f t="shared" si="4"/>
        <v>138281.6904026657</v>
      </c>
      <c r="R7" s="128">
        <f t="shared" si="11"/>
        <v>0</v>
      </c>
      <c r="S7" s="195" t="str">
        <f t="shared" si="12"/>
        <v/>
      </c>
      <c r="T7" s="128"/>
      <c r="U7" s="128"/>
      <c r="V7" s="129" t="str">
        <f t="shared" si="5"/>
        <v/>
      </c>
      <c r="W7" s="129" t="str">
        <f t="shared" si="6"/>
        <v/>
      </c>
      <c r="X7" s="171">
        <f t="shared" si="7"/>
        <v>0</v>
      </c>
      <c r="Y7" s="171">
        <f t="shared" si="7"/>
        <v>0</v>
      </c>
      <c r="Z7" s="171">
        <f t="shared" si="7"/>
        <v>0</v>
      </c>
      <c r="AA7" s="186">
        <f t="shared" si="8"/>
        <v>0</v>
      </c>
      <c r="AB7" s="173">
        <f t="shared" si="13"/>
        <v>0</v>
      </c>
      <c r="AC7" s="79"/>
      <c r="AD7" s="76"/>
      <c r="AE7" s="76"/>
    </row>
    <row r="8" spans="1:34">
      <c r="A8" s="23"/>
      <c r="B8" s="4">
        <f t="shared" si="9"/>
        <v>45568</v>
      </c>
      <c r="C8" s="29">
        <f>C3+3</f>
        <v>45568</v>
      </c>
      <c r="D8" s="6">
        <f t="shared" ca="1" si="1"/>
        <v>-277</v>
      </c>
      <c r="E8" s="90" t="str">
        <f>IF(B8=0,"","Thursday")</f>
        <v>Thursday</v>
      </c>
      <c r="F8" s="45"/>
      <c r="G8" s="46"/>
      <c r="H8" s="46"/>
      <c r="I8" s="151"/>
      <c r="J8" s="46"/>
      <c r="K8" s="152" t="str">
        <f t="shared" si="10"/>
        <v/>
      </c>
      <c r="L8" s="46"/>
      <c r="M8" s="46" t="str">
        <f t="shared" si="2"/>
        <v/>
      </c>
      <c r="N8" s="310"/>
      <c r="O8" s="171">
        <f t="shared" si="3"/>
        <v>4460.7817337776169</v>
      </c>
      <c r="P8" s="172">
        <f t="shared" si="0"/>
        <v>138281.6904026657</v>
      </c>
      <c r="Q8" s="128">
        <f t="shared" si="4"/>
        <v>138281.6904026657</v>
      </c>
      <c r="R8" s="128">
        <f t="shared" si="11"/>
        <v>0</v>
      </c>
      <c r="S8" s="195" t="str">
        <f t="shared" si="12"/>
        <v/>
      </c>
      <c r="T8" s="128"/>
      <c r="U8" s="128"/>
      <c r="V8" s="129" t="str">
        <f t="shared" si="5"/>
        <v/>
      </c>
      <c r="W8" s="129" t="str">
        <f t="shared" si="6"/>
        <v/>
      </c>
      <c r="X8" s="171">
        <f t="shared" si="7"/>
        <v>0</v>
      </c>
      <c r="Y8" s="171">
        <f t="shared" si="7"/>
        <v>0</v>
      </c>
      <c r="Z8" s="171">
        <f t="shared" si="7"/>
        <v>0</v>
      </c>
      <c r="AA8" s="186">
        <f t="shared" si="8"/>
        <v>0</v>
      </c>
      <c r="AB8" s="173">
        <f t="shared" si="13"/>
        <v>0</v>
      </c>
      <c r="AC8" s="79"/>
      <c r="AD8" s="76"/>
      <c r="AE8" s="76"/>
    </row>
    <row r="9" spans="1:34">
      <c r="A9" s="23"/>
      <c r="B9" s="4">
        <f t="shared" si="9"/>
        <v>45569</v>
      </c>
      <c r="C9" s="29">
        <f>C3+4</f>
        <v>45569</v>
      </c>
      <c r="D9" s="6">
        <f t="shared" ca="1" si="1"/>
        <v>-278</v>
      </c>
      <c r="E9" s="90" t="str">
        <f>IF(B9=0,"","Friday")</f>
        <v>Friday</v>
      </c>
      <c r="F9" s="45"/>
      <c r="G9" s="46"/>
      <c r="H9" s="46"/>
      <c r="I9" s="151"/>
      <c r="J9" s="46"/>
      <c r="K9" s="152" t="str">
        <f t="shared" si="10"/>
        <v/>
      </c>
      <c r="L9" s="46"/>
      <c r="M9" s="46" t="str">
        <f t="shared" si="2"/>
        <v/>
      </c>
      <c r="N9" s="301"/>
      <c r="O9" s="171">
        <f t="shared" si="3"/>
        <v>4460.7817337776169</v>
      </c>
      <c r="P9" s="172">
        <f t="shared" si="0"/>
        <v>138281.6904026657</v>
      </c>
      <c r="Q9" s="128">
        <f t="shared" si="4"/>
        <v>138281.6904026657</v>
      </c>
      <c r="R9" s="128">
        <f t="shared" si="11"/>
        <v>0</v>
      </c>
      <c r="S9" s="195" t="str">
        <f t="shared" si="12"/>
        <v/>
      </c>
      <c r="T9" s="128"/>
      <c r="U9" s="128"/>
      <c r="V9" s="129" t="str">
        <f t="shared" si="5"/>
        <v/>
      </c>
      <c r="W9" s="129" t="str">
        <f t="shared" si="6"/>
        <v/>
      </c>
      <c r="X9" s="171">
        <f t="shared" si="7"/>
        <v>0</v>
      </c>
      <c r="Y9" s="171">
        <f t="shared" si="7"/>
        <v>0</v>
      </c>
      <c r="Z9" s="171">
        <f t="shared" si="7"/>
        <v>0</v>
      </c>
      <c r="AA9" s="186">
        <f t="shared" si="8"/>
        <v>0</v>
      </c>
      <c r="AB9" s="173">
        <f t="shared" si="13"/>
        <v>0</v>
      </c>
      <c r="AC9" s="79"/>
      <c r="AD9" s="76"/>
      <c r="AE9" s="76"/>
    </row>
    <row r="10" spans="1:34">
      <c r="A10" s="23"/>
      <c r="B10" s="4">
        <f t="shared" si="9"/>
        <v>45570</v>
      </c>
      <c r="C10" s="29">
        <f>C3+5</f>
        <v>45570</v>
      </c>
      <c r="D10" s="6">
        <f t="shared" ca="1" si="1"/>
        <v>-279</v>
      </c>
      <c r="E10" s="90" t="str">
        <f>IF(B10=0,"","Saturday")</f>
        <v>Saturday</v>
      </c>
      <c r="F10" s="45"/>
      <c r="G10" s="46"/>
      <c r="H10" s="46"/>
      <c r="I10" s="151"/>
      <c r="J10" s="46"/>
      <c r="K10" s="152" t="str">
        <f t="shared" si="10"/>
        <v/>
      </c>
      <c r="L10" s="46"/>
      <c r="M10" s="46" t="str">
        <f t="shared" si="2"/>
        <v/>
      </c>
      <c r="N10" s="310"/>
      <c r="O10" s="171">
        <f t="shared" si="3"/>
        <v>4460.7817337776169</v>
      </c>
      <c r="P10" s="172">
        <f t="shared" si="0"/>
        <v>138281.6904026657</v>
      </c>
      <c r="Q10" s="128">
        <f t="shared" si="4"/>
        <v>138281.6904026657</v>
      </c>
      <c r="R10" s="128">
        <f t="shared" si="11"/>
        <v>0</v>
      </c>
      <c r="S10" s="195" t="str">
        <f t="shared" si="12"/>
        <v/>
      </c>
      <c r="T10" s="128"/>
      <c r="U10" s="128"/>
      <c r="V10" s="129" t="str">
        <f t="shared" si="5"/>
        <v/>
      </c>
      <c r="W10" s="129" t="str">
        <f t="shared" si="6"/>
        <v/>
      </c>
      <c r="X10" s="171">
        <f t="shared" si="7"/>
        <v>0</v>
      </c>
      <c r="Y10" s="171">
        <f t="shared" si="7"/>
        <v>0</v>
      </c>
      <c r="Z10" s="171">
        <f t="shared" si="7"/>
        <v>0</v>
      </c>
      <c r="AA10" s="186">
        <f t="shared" si="8"/>
        <v>0</v>
      </c>
      <c r="AB10" s="173">
        <f t="shared" si="13"/>
        <v>0</v>
      </c>
      <c r="AC10" s="79"/>
      <c r="AD10" s="76"/>
      <c r="AE10" s="76"/>
    </row>
    <row r="11" spans="1:34" ht="17" thickBot="1">
      <c r="A11" s="23"/>
      <c r="B11" s="43">
        <f t="shared" si="9"/>
        <v>45571</v>
      </c>
      <c r="C11" s="32">
        <f>C3+6</f>
        <v>45571</v>
      </c>
      <c r="D11" s="44">
        <f t="shared" ca="1" si="1"/>
        <v>-280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0"/>
        <v/>
      </c>
      <c r="L11" s="46"/>
      <c r="M11" s="46" t="str">
        <f t="shared" si="2"/>
        <v/>
      </c>
      <c r="N11" s="310"/>
      <c r="O11" s="171">
        <f t="shared" si="3"/>
        <v>4460.7817337776169</v>
      </c>
      <c r="P11" s="172">
        <f t="shared" si="0"/>
        <v>138281.6904026657</v>
      </c>
      <c r="Q11" s="128">
        <f t="shared" si="4"/>
        <v>138281.6904026657</v>
      </c>
      <c r="R11" s="128">
        <f t="shared" si="11"/>
        <v>0</v>
      </c>
      <c r="S11" s="195" t="str">
        <f t="shared" si="12"/>
        <v/>
      </c>
      <c r="T11" s="128"/>
      <c r="U11" s="128"/>
      <c r="V11" s="129" t="str">
        <f t="shared" si="5"/>
        <v/>
      </c>
      <c r="W11" s="129" t="str">
        <f t="shared" si="6"/>
        <v/>
      </c>
      <c r="X11" s="171">
        <f t="shared" si="7"/>
        <v>0</v>
      </c>
      <c r="Y11" s="171">
        <f t="shared" si="7"/>
        <v>0</v>
      </c>
      <c r="Z11" s="171">
        <f t="shared" si="7"/>
        <v>0</v>
      </c>
      <c r="AA11" s="186">
        <f t="shared" si="8"/>
        <v>0</v>
      </c>
      <c r="AB11" s="173">
        <f t="shared" si="13"/>
        <v>0</v>
      </c>
      <c r="AC11" s="79"/>
      <c r="AD11" s="76"/>
      <c r="AE11" s="76"/>
    </row>
    <row r="12" spans="1:34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71" t="str">
        <f t="shared" si="3"/>
        <v/>
      </c>
      <c r="P12" s="172"/>
      <c r="Q12" s="128">
        <f t="shared" si="4"/>
        <v>0</v>
      </c>
      <c r="R12" s="188"/>
      <c r="S12" s="195" t="str">
        <f t="shared" si="12"/>
        <v/>
      </c>
      <c r="T12" s="188"/>
      <c r="U12" s="188"/>
      <c r="V12" s="188"/>
      <c r="W12" s="188"/>
      <c r="X12" s="172"/>
      <c r="Y12" s="172"/>
      <c r="Z12" s="95"/>
      <c r="AA12" s="186">
        <f t="shared" si="8"/>
        <v>0</v>
      </c>
      <c r="AB12" s="173">
        <f t="shared" si="13"/>
        <v>0</v>
      </c>
      <c r="AC12" s="79"/>
      <c r="AD12" s="76"/>
      <c r="AE12" s="76"/>
    </row>
    <row r="13" spans="1:34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16.630776664040564</v>
      </c>
      <c r="G13" s="53">
        <f>H13*1.0936113</f>
        <v>29270.167865356765</v>
      </c>
      <c r="H13" s="103">
        <f>SUM($O5:$O11)</f>
        <v>26764.690402665703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71" t="str">
        <f t="shared" si="3"/>
        <v/>
      </c>
      <c r="P13" s="172"/>
      <c r="Q13" s="128">
        <f t="shared" si="4"/>
        <v>0</v>
      </c>
      <c r="R13" s="189"/>
      <c r="S13" s="195" t="str">
        <f t="shared" si="12"/>
        <v/>
      </c>
      <c r="T13" s="189"/>
      <c r="U13" s="189"/>
      <c r="V13" s="189"/>
      <c r="W13" s="189"/>
      <c r="X13" s="172"/>
      <c r="Y13" s="172"/>
      <c r="Z13" s="95"/>
      <c r="AA13" s="186">
        <f t="shared" si="8"/>
        <v>0</v>
      </c>
      <c r="AB13" s="173">
        <f t="shared" si="13"/>
        <v>0</v>
      </c>
      <c r="AC13" s="79"/>
      <c r="AD13" s="76"/>
      <c r="AE13" s="76"/>
    </row>
    <row r="14" spans="1:34" ht="17" thickTop="1">
      <c r="A14" s="1"/>
      <c r="B14" s="47">
        <f t="shared" ref="B14:B20" si="14">IF(B$2&gt;C14,0,C14)</f>
        <v>45572</v>
      </c>
      <c r="C14" s="31">
        <f>C11+1</f>
        <v>45572</v>
      </c>
      <c r="D14" s="18">
        <f t="shared" ca="1" si="1"/>
        <v>-281</v>
      </c>
      <c r="E14" s="94" t="s">
        <v>1</v>
      </c>
      <c r="F14" s="45"/>
      <c r="G14" s="46"/>
      <c r="H14" s="46"/>
      <c r="I14" s="109"/>
      <c r="J14" s="101"/>
      <c r="K14" s="152" t="str">
        <f t="shared" ref="K14:K20" si="15">IF(R14=0,"",IF(L14="","",J14))</f>
        <v/>
      </c>
      <c r="L14" s="101"/>
      <c r="M14" s="46" t="str">
        <f t="shared" ref="M14:M20" si="16">IF(R14=0,"",IF(J14="","",L14))</f>
        <v/>
      </c>
      <c r="N14" s="310"/>
      <c r="O14" s="171">
        <f t="shared" si="3"/>
        <v>4460.7817337776169</v>
      </c>
      <c r="P14" s="172">
        <f t="shared" ref="P14:P20" si="17">H$56</f>
        <v>138281.6904026657</v>
      </c>
      <c r="Q14" s="128">
        <f t="shared" si="4"/>
        <v>138281.6904026657</v>
      </c>
      <c r="R14" s="128">
        <f>IF(R$2=3,H14+G14/1.0936133+F14/0.0006213712,IF(R$2=2,H14*1.0936133+G14+F14/0.0005681818,IF(R$2=1,H14*0.0005681818*1.0936133+G14*0.0005681818+F14,"")))</f>
        <v>0</v>
      </c>
      <c r="S14" s="195" t="str">
        <f t="shared" si="12"/>
        <v/>
      </c>
      <c r="T14" s="128"/>
      <c r="U14" s="128"/>
      <c r="V14" s="129" t="str">
        <f t="shared" ref="V14:V20" si="18">IF(L14="","",IF(R14=0,"",IF(B14=0,"",IF($R$2=3,R14/L14*60/1000,IF($R$2=2,R14/L14*60/1760,IF($R$2=1,R14/L14*60,""))))))</f>
        <v/>
      </c>
      <c r="W14" s="129" t="str">
        <f t="shared" ref="W14:W20" si="19">IF(R14=0,"",IF(L14="","",V14*L14))</f>
        <v/>
      </c>
      <c r="X14" s="171">
        <f>F14+X11</f>
        <v>0</v>
      </c>
      <c r="Y14" s="171">
        <f>G14+Y11</f>
        <v>0</v>
      </c>
      <c r="Z14" s="171">
        <f>H14+Z11</f>
        <v>0</v>
      </c>
      <c r="AA14" s="186">
        <f t="shared" si="8"/>
        <v>0</v>
      </c>
      <c r="AB14" s="173">
        <f t="shared" si="13"/>
        <v>0</v>
      </c>
      <c r="AC14" s="79"/>
      <c r="AD14" s="76"/>
      <c r="AE14" s="76"/>
    </row>
    <row r="15" spans="1:34">
      <c r="A15" s="1"/>
      <c r="B15" s="4">
        <f t="shared" si="14"/>
        <v>45573</v>
      </c>
      <c r="C15" s="29">
        <f t="shared" ref="C15:C20" si="20">C14+1</f>
        <v>45573</v>
      </c>
      <c r="D15" s="6">
        <f t="shared" ca="1" si="1"/>
        <v>-282</v>
      </c>
      <c r="E15" s="90" t="s">
        <v>2</v>
      </c>
      <c r="F15" s="45"/>
      <c r="G15" s="46"/>
      <c r="H15" s="46"/>
      <c r="I15" s="151"/>
      <c r="J15" s="46"/>
      <c r="K15" s="152" t="str">
        <f t="shared" si="15"/>
        <v/>
      </c>
      <c r="L15" s="46"/>
      <c r="M15" s="46" t="str">
        <f t="shared" si="16"/>
        <v/>
      </c>
      <c r="N15" s="310"/>
      <c r="O15" s="171">
        <f t="shared" si="3"/>
        <v>4460.7817337776169</v>
      </c>
      <c r="P15" s="172">
        <f t="shared" si="17"/>
        <v>138281.6904026657</v>
      </c>
      <c r="Q15" s="128">
        <f t="shared" si="4"/>
        <v>138281.6904026657</v>
      </c>
      <c r="R15" s="128">
        <f t="shared" ref="R15:R20" si="21">IF(R$2=3,H15+G15/1.0936133+F15/0.0006213712,IF(R$2=2,H15*1.0936133+G15+F15/0.0005681818,IF(R$2=1,H15*0.0005681818*1.0936133+G15*0.0005681818+F15,"")))</f>
        <v>0</v>
      </c>
      <c r="S15" s="195" t="str">
        <f t="shared" si="12"/>
        <v/>
      </c>
      <c r="T15" s="128"/>
      <c r="U15" s="128"/>
      <c r="V15" s="129" t="str">
        <f t="shared" si="18"/>
        <v/>
      </c>
      <c r="W15" s="129" t="str">
        <f t="shared" si="19"/>
        <v/>
      </c>
      <c r="X15" s="171">
        <f t="shared" ref="X15:Z20" si="22">F15+X14</f>
        <v>0</v>
      </c>
      <c r="Y15" s="171">
        <f t="shared" si="22"/>
        <v>0</v>
      </c>
      <c r="Z15" s="171">
        <f t="shared" si="22"/>
        <v>0</v>
      </c>
      <c r="AA15" s="186">
        <f t="shared" si="8"/>
        <v>0</v>
      </c>
      <c r="AB15" s="173">
        <f t="shared" si="13"/>
        <v>0</v>
      </c>
      <c r="AC15" s="79"/>
      <c r="AD15" s="76"/>
      <c r="AE15" s="76"/>
    </row>
    <row r="16" spans="1:34">
      <c r="A16" s="1"/>
      <c r="B16" s="4">
        <f t="shared" si="14"/>
        <v>45574</v>
      </c>
      <c r="C16" s="29">
        <f t="shared" si="20"/>
        <v>45574</v>
      </c>
      <c r="D16" s="6">
        <f t="shared" ca="1" si="1"/>
        <v>-283</v>
      </c>
      <c r="E16" s="90" t="s">
        <v>3</v>
      </c>
      <c r="F16" s="45"/>
      <c r="G16" s="46"/>
      <c r="H16" s="46"/>
      <c r="I16" s="151"/>
      <c r="J16" s="46"/>
      <c r="K16" s="152" t="str">
        <f t="shared" si="15"/>
        <v/>
      </c>
      <c r="L16" s="46"/>
      <c r="M16" s="46" t="str">
        <f t="shared" si="16"/>
        <v/>
      </c>
      <c r="N16" s="301"/>
      <c r="O16" s="171">
        <f t="shared" si="3"/>
        <v>4460.7817337776169</v>
      </c>
      <c r="P16" s="172">
        <f t="shared" si="17"/>
        <v>138281.6904026657</v>
      </c>
      <c r="Q16" s="128">
        <f t="shared" si="4"/>
        <v>138281.6904026657</v>
      </c>
      <c r="R16" s="128">
        <f t="shared" si="21"/>
        <v>0</v>
      </c>
      <c r="S16" s="195" t="str">
        <f t="shared" si="12"/>
        <v/>
      </c>
      <c r="T16" s="128"/>
      <c r="U16" s="128"/>
      <c r="V16" s="129" t="str">
        <f t="shared" si="18"/>
        <v/>
      </c>
      <c r="W16" s="129" t="str">
        <f t="shared" si="19"/>
        <v/>
      </c>
      <c r="X16" s="171">
        <f t="shared" si="22"/>
        <v>0</v>
      </c>
      <c r="Y16" s="171">
        <f t="shared" si="22"/>
        <v>0</v>
      </c>
      <c r="Z16" s="171">
        <f t="shared" si="22"/>
        <v>0</v>
      </c>
      <c r="AA16" s="186">
        <f t="shared" si="8"/>
        <v>0</v>
      </c>
      <c r="AB16" s="173">
        <f t="shared" si="13"/>
        <v>0</v>
      </c>
      <c r="AC16" s="79"/>
      <c r="AD16" s="76"/>
      <c r="AE16" s="76"/>
    </row>
    <row r="17" spans="1:31">
      <c r="A17" s="1"/>
      <c r="B17" s="4">
        <f t="shared" si="14"/>
        <v>45575</v>
      </c>
      <c r="C17" s="29">
        <f t="shared" si="20"/>
        <v>45575</v>
      </c>
      <c r="D17" s="6">
        <f t="shared" ca="1" si="1"/>
        <v>-284</v>
      </c>
      <c r="E17" s="90" t="s">
        <v>4</v>
      </c>
      <c r="F17" s="45"/>
      <c r="G17" s="46"/>
      <c r="H17" s="46"/>
      <c r="I17" s="151"/>
      <c r="J17" s="46"/>
      <c r="K17" s="152" t="str">
        <f t="shared" si="15"/>
        <v/>
      </c>
      <c r="L17" s="46"/>
      <c r="M17" s="46" t="str">
        <f t="shared" si="16"/>
        <v/>
      </c>
      <c r="N17" s="310"/>
      <c r="O17" s="171">
        <f t="shared" si="3"/>
        <v>4460.7817337776169</v>
      </c>
      <c r="P17" s="172">
        <f t="shared" si="17"/>
        <v>138281.6904026657</v>
      </c>
      <c r="Q17" s="128">
        <f t="shared" si="4"/>
        <v>138281.6904026657</v>
      </c>
      <c r="R17" s="128">
        <f t="shared" si="21"/>
        <v>0</v>
      </c>
      <c r="S17" s="195" t="str">
        <f t="shared" si="12"/>
        <v/>
      </c>
      <c r="T17" s="128"/>
      <c r="U17" s="128"/>
      <c r="V17" s="129" t="str">
        <f t="shared" si="18"/>
        <v/>
      </c>
      <c r="W17" s="129" t="str">
        <f t="shared" si="19"/>
        <v/>
      </c>
      <c r="X17" s="171">
        <f t="shared" si="22"/>
        <v>0</v>
      </c>
      <c r="Y17" s="171">
        <f t="shared" si="22"/>
        <v>0</v>
      </c>
      <c r="Z17" s="171">
        <f t="shared" si="22"/>
        <v>0</v>
      </c>
      <c r="AA17" s="186">
        <f t="shared" si="8"/>
        <v>0</v>
      </c>
      <c r="AB17" s="173">
        <f t="shared" si="13"/>
        <v>0</v>
      </c>
      <c r="AC17" s="79"/>
      <c r="AD17" s="76"/>
      <c r="AE17" s="76"/>
    </row>
    <row r="18" spans="1:31">
      <c r="A18" s="1"/>
      <c r="B18" s="4">
        <f t="shared" si="14"/>
        <v>45576</v>
      </c>
      <c r="C18" s="29">
        <f t="shared" si="20"/>
        <v>45576</v>
      </c>
      <c r="D18" s="6">
        <f t="shared" ca="1" si="1"/>
        <v>-285</v>
      </c>
      <c r="E18" s="90" t="s">
        <v>5</v>
      </c>
      <c r="F18" s="45"/>
      <c r="G18" s="46"/>
      <c r="H18" s="46"/>
      <c r="I18" s="151"/>
      <c r="J18" s="46"/>
      <c r="K18" s="152" t="str">
        <f t="shared" si="15"/>
        <v/>
      </c>
      <c r="L18" s="46"/>
      <c r="M18" s="46" t="str">
        <f t="shared" si="16"/>
        <v/>
      </c>
      <c r="N18" s="301"/>
      <c r="O18" s="171">
        <f t="shared" si="3"/>
        <v>4460.7817337776169</v>
      </c>
      <c r="P18" s="172">
        <f t="shared" si="17"/>
        <v>138281.6904026657</v>
      </c>
      <c r="Q18" s="128">
        <f t="shared" si="4"/>
        <v>138281.6904026657</v>
      </c>
      <c r="R18" s="128">
        <f t="shared" si="21"/>
        <v>0</v>
      </c>
      <c r="S18" s="195" t="str">
        <f t="shared" si="12"/>
        <v/>
      </c>
      <c r="T18" s="128"/>
      <c r="U18" s="128"/>
      <c r="V18" s="129" t="str">
        <f t="shared" si="18"/>
        <v/>
      </c>
      <c r="W18" s="129" t="str">
        <f t="shared" si="19"/>
        <v/>
      </c>
      <c r="X18" s="171">
        <f t="shared" si="22"/>
        <v>0</v>
      </c>
      <c r="Y18" s="171">
        <f t="shared" si="22"/>
        <v>0</v>
      </c>
      <c r="Z18" s="171">
        <f t="shared" si="22"/>
        <v>0</v>
      </c>
      <c r="AA18" s="186">
        <f t="shared" si="8"/>
        <v>0</v>
      </c>
      <c r="AB18" s="173">
        <f t="shared" si="13"/>
        <v>0</v>
      </c>
      <c r="AC18" s="79"/>
      <c r="AD18" s="76"/>
      <c r="AE18" s="76"/>
    </row>
    <row r="19" spans="1:31">
      <c r="A19" s="1"/>
      <c r="B19" s="4">
        <f t="shared" si="14"/>
        <v>45577</v>
      </c>
      <c r="C19" s="29">
        <f t="shared" si="20"/>
        <v>45577</v>
      </c>
      <c r="D19" s="6">
        <f t="shared" ca="1" si="1"/>
        <v>-286</v>
      </c>
      <c r="E19" s="90" t="s">
        <v>6</v>
      </c>
      <c r="F19" s="45"/>
      <c r="G19" s="46"/>
      <c r="H19" s="46"/>
      <c r="I19" s="151"/>
      <c r="J19" s="46"/>
      <c r="K19" s="152" t="str">
        <f t="shared" si="15"/>
        <v/>
      </c>
      <c r="L19" s="46"/>
      <c r="M19" s="46" t="str">
        <f t="shared" si="16"/>
        <v/>
      </c>
      <c r="N19" s="310"/>
      <c r="O19" s="171">
        <f t="shared" si="3"/>
        <v>4460.7817337776169</v>
      </c>
      <c r="P19" s="172">
        <f t="shared" si="17"/>
        <v>138281.6904026657</v>
      </c>
      <c r="Q19" s="128">
        <f t="shared" si="4"/>
        <v>138281.6904026657</v>
      </c>
      <c r="R19" s="128">
        <f t="shared" si="21"/>
        <v>0</v>
      </c>
      <c r="S19" s="195" t="str">
        <f t="shared" si="12"/>
        <v/>
      </c>
      <c r="T19" s="128"/>
      <c r="U19" s="128"/>
      <c r="V19" s="129" t="str">
        <f t="shared" si="18"/>
        <v/>
      </c>
      <c r="W19" s="129" t="str">
        <f t="shared" si="19"/>
        <v/>
      </c>
      <c r="X19" s="171">
        <f t="shared" si="22"/>
        <v>0</v>
      </c>
      <c r="Y19" s="171">
        <f t="shared" si="22"/>
        <v>0</v>
      </c>
      <c r="Z19" s="171">
        <f t="shared" si="22"/>
        <v>0</v>
      </c>
      <c r="AA19" s="186">
        <f t="shared" si="8"/>
        <v>0</v>
      </c>
      <c r="AB19" s="173">
        <f t="shared" si="13"/>
        <v>0</v>
      </c>
      <c r="AC19" s="79"/>
      <c r="AD19" s="76"/>
      <c r="AE19" s="76"/>
    </row>
    <row r="20" spans="1:31" ht="17" thickBot="1">
      <c r="A20" s="1"/>
      <c r="B20" s="43">
        <f t="shared" si="14"/>
        <v>45578</v>
      </c>
      <c r="C20" s="32">
        <f t="shared" si="20"/>
        <v>45578</v>
      </c>
      <c r="D20" s="44">
        <f t="shared" ca="1" si="1"/>
        <v>-287</v>
      </c>
      <c r="E20" s="93" t="s">
        <v>7</v>
      </c>
      <c r="F20" s="45"/>
      <c r="G20" s="46"/>
      <c r="H20" s="46"/>
      <c r="I20" s="151"/>
      <c r="J20" s="46"/>
      <c r="K20" s="152" t="str">
        <f t="shared" si="15"/>
        <v/>
      </c>
      <c r="L20" s="46"/>
      <c r="M20" s="46" t="str">
        <f t="shared" si="16"/>
        <v/>
      </c>
      <c r="N20" s="303"/>
      <c r="O20" s="171">
        <f t="shared" si="3"/>
        <v>4460.7817337776169</v>
      </c>
      <c r="P20" s="172">
        <f t="shared" si="17"/>
        <v>138281.6904026657</v>
      </c>
      <c r="Q20" s="128">
        <f t="shared" si="4"/>
        <v>138281.6904026657</v>
      </c>
      <c r="R20" s="128">
        <f t="shared" si="21"/>
        <v>0</v>
      </c>
      <c r="S20" s="195" t="str">
        <f t="shared" si="12"/>
        <v/>
      </c>
      <c r="T20" s="128"/>
      <c r="U20" s="128"/>
      <c r="V20" s="129" t="str">
        <f t="shared" si="18"/>
        <v/>
      </c>
      <c r="W20" s="129" t="str">
        <f t="shared" si="19"/>
        <v/>
      </c>
      <c r="X20" s="171">
        <f t="shared" si="22"/>
        <v>0</v>
      </c>
      <c r="Y20" s="171">
        <f t="shared" si="22"/>
        <v>0</v>
      </c>
      <c r="Z20" s="171">
        <f t="shared" si="22"/>
        <v>0</v>
      </c>
      <c r="AA20" s="186">
        <f t="shared" si="8"/>
        <v>0</v>
      </c>
      <c r="AB20" s="173">
        <f t="shared" si="13"/>
        <v>0</v>
      </c>
      <c r="AC20" s="79"/>
      <c r="AD20" s="76"/>
      <c r="AE20" s="76"/>
    </row>
    <row r="21" spans="1:31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71" t="str">
        <f t="shared" si="3"/>
        <v/>
      </c>
      <c r="P21" s="172"/>
      <c r="Q21" s="128">
        <f t="shared" si="4"/>
        <v>0</v>
      </c>
      <c r="R21" s="188"/>
      <c r="S21" s="195" t="str">
        <f t="shared" si="12"/>
        <v/>
      </c>
      <c r="T21" s="188"/>
      <c r="U21" s="188"/>
      <c r="V21" s="188"/>
      <c r="W21" s="188"/>
      <c r="X21" s="95"/>
      <c r="Y21" s="95"/>
      <c r="Z21" s="95"/>
      <c r="AA21" s="186">
        <f t="shared" si="8"/>
        <v>0</v>
      </c>
      <c r="AB21" s="173">
        <f t="shared" si="13"/>
        <v>0</v>
      </c>
      <c r="AC21" s="79"/>
      <c r="AD21" s="76"/>
      <c r="AE21" s="76"/>
    </row>
    <row r="22" spans="1:31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19.402279403274768</v>
      </c>
      <c r="G22" s="53">
        <f>H22*1.0936113</f>
        <v>34148.0128425</v>
      </c>
      <c r="H22" s="104">
        <f>INT(SUM($O14:$O20))</f>
        <v>31225</v>
      </c>
      <c r="I22" s="120"/>
      <c r="J22" s="499"/>
      <c r="K22" s="500"/>
      <c r="L22" s="500"/>
      <c r="M22" s="500"/>
      <c r="N22" s="500"/>
      <c r="O22" s="171" t="str">
        <f t="shared" si="3"/>
        <v/>
      </c>
      <c r="P22" s="172"/>
      <c r="Q22" s="128">
        <f t="shared" si="4"/>
        <v>0</v>
      </c>
      <c r="R22" s="189"/>
      <c r="S22" s="195" t="str">
        <f t="shared" si="12"/>
        <v/>
      </c>
      <c r="T22" s="189"/>
      <c r="U22" s="189"/>
      <c r="V22" s="189"/>
      <c r="W22" s="189"/>
      <c r="X22" s="95"/>
      <c r="Y22" s="95"/>
      <c r="Z22" s="95"/>
      <c r="AA22" s="186">
        <f t="shared" si="8"/>
        <v>0</v>
      </c>
      <c r="AB22" s="173">
        <f t="shared" si="13"/>
        <v>0</v>
      </c>
      <c r="AC22" s="79"/>
      <c r="AD22" s="76"/>
      <c r="AE22" s="76"/>
    </row>
    <row r="23" spans="1:31" ht="17" thickTop="1">
      <c r="A23" s="1"/>
      <c r="B23" s="47">
        <f t="shared" ref="B23:B29" si="23">IF(B$2&gt;C23,0,C23)</f>
        <v>45579</v>
      </c>
      <c r="C23" s="31">
        <f>C20+1</f>
        <v>45579</v>
      </c>
      <c r="D23" s="18">
        <f t="shared" ca="1" si="1"/>
        <v>-288</v>
      </c>
      <c r="E23" s="94" t="s">
        <v>1</v>
      </c>
      <c r="F23" s="45"/>
      <c r="G23" s="46"/>
      <c r="H23" s="46"/>
      <c r="I23" s="151"/>
      <c r="J23" s="46"/>
      <c r="K23" s="152" t="str">
        <f t="shared" ref="K23:K29" si="24">IF(R23=0,"",IF(L23="","",J23))</f>
        <v/>
      </c>
      <c r="L23" s="101"/>
      <c r="M23" s="46" t="str">
        <f t="shared" ref="M23:M29" si="25">IF(R23=0,"",IF(J23="","",L23))</f>
        <v/>
      </c>
      <c r="N23" s="301"/>
      <c r="O23" s="171">
        <f t="shared" si="3"/>
        <v>4460.7817337776169</v>
      </c>
      <c r="P23" s="172">
        <f t="shared" ref="P23:P29" si="26">H$56</f>
        <v>138281.6904026657</v>
      </c>
      <c r="Q23" s="128">
        <f t="shared" si="4"/>
        <v>138281.6904026657</v>
      </c>
      <c r="R23" s="128">
        <f>IF(R$2=3,H23+G23/1.0936133+F23/0.0006213712,IF(R$2=2,H23*1.0936133+G23+F23/0.0005681818,IF(R$2=1,H23*0.0005681818*1.0936133+G23*0.0005681818+F23,"")))</f>
        <v>0</v>
      </c>
      <c r="S23" s="195" t="str">
        <f t="shared" si="12"/>
        <v/>
      </c>
      <c r="T23" s="128"/>
      <c r="U23" s="128"/>
      <c r="V23" s="129" t="str">
        <f t="shared" ref="V23:V29" si="27">IF(L23="","",IF(R23=0,"",IF(B23=0,"",IF($R$2=3,R23/L23*60/1000,IF($R$2=2,R23/L23*60/1760,IF($R$2=1,R23/L23*60,""))))))</f>
        <v/>
      </c>
      <c r="W23" s="129" t="str">
        <f t="shared" ref="W23:W29" si="28">IF(R23=0,"",IF(L23="","",V23*L23))</f>
        <v/>
      </c>
      <c r="X23" s="171">
        <f>F23+X20</f>
        <v>0</v>
      </c>
      <c r="Y23" s="171">
        <f>G23+Y20</f>
        <v>0</v>
      </c>
      <c r="Z23" s="171">
        <f>H23+Z20</f>
        <v>0</v>
      </c>
      <c r="AA23" s="186">
        <f t="shared" si="8"/>
        <v>0</v>
      </c>
      <c r="AB23" s="173">
        <f t="shared" si="13"/>
        <v>0</v>
      </c>
      <c r="AC23" s="79"/>
      <c r="AD23" s="76"/>
      <c r="AE23" s="76"/>
    </row>
    <row r="24" spans="1:31">
      <c r="A24" s="1"/>
      <c r="B24" s="4">
        <f t="shared" si="23"/>
        <v>45580</v>
      </c>
      <c r="C24" s="29">
        <f t="shared" ref="C24:C29" si="29">C23+1</f>
        <v>45580</v>
      </c>
      <c r="D24" s="6">
        <f t="shared" ca="1" si="1"/>
        <v>-289</v>
      </c>
      <c r="E24" s="90" t="s">
        <v>2</v>
      </c>
      <c r="F24" s="45"/>
      <c r="G24" s="46"/>
      <c r="H24" s="46"/>
      <c r="I24" s="151"/>
      <c r="J24" s="46"/>
      <c r="K24" s="152" t="str">
        <f t="shared" si="24"/>
        <v/>
      </c>
      <c r="L24" s="46"/>
      <c r="M24" s="46" t="str">
        <f t="shared" si="25"/>
        <v/>
      </c>
      <c r="N24" s="301"/>
      <c r="O24" s="171">
        <f t="shared" si="3"/>
        <v>4460.7817337776169</v>
      </c>
      <c r="P24" s="172">
        <f t="shared" si="26"/>
        <v>138281.6904026657</v>
      </c>
      <c r="Q24" s="128">
        <f t="shared" si="4"/>
        <v>138281.6904026657</v>
      </c>
      <c r="R24" s="128">
        <f t="shared" ref="R24:R29" si="30">IF(R$2=3,H24+G24/1.0936133+F24/0.0006213712,IF(R$2=2,H24*1.0936133+G24+F24/0.0005681818,IF(R$2=1,H24*0.0005681818*1.0936133+G24*0.0005681818+F24,"")))</f>
        <v>0</v>
      </c>
      <c r="S24" s="195" t="str">
        <f t="shared" si="12"/>
        <v/>
      </c>
      <c r="T24" s="128"/>
      <c r="U24" s="128"/>
      <c r="V24" s="129" t="str">
        <f t="shared" si="27"/>
        <v/>
      </c>
      <c r="W24" s="129" t="str">
        <f t="shared" si="28"/>
        <v/>
      </c>
      <c r="X24" s="171">
        <f t="shared" ref="X24:Z29" si="31">F24+X23</f>
        <v>0</v>
      </c>
      <c r="Y24" s="171">
        <f t="shared" si="31"/>
        <v>0</v>
      </c>
      <c r="Z24" s="171">
        <f t="shared" si="31"/>
        <v>0</v>
      </c>
      <c r="AA24" s="186">
        <f t="shared" si="8"/>
        <v>0</v>
      </c>
      <c r="AB24" s="173">
        <f t="shared" si="13"/>
        <v>0</v>
      </c>
      <c r="AC24" s="79"/>
      <c r="AD24" s="76"/>
      <c r="AE24" s="76"/>
    </row>
    <row r="25" spans="1:31">
      <c r="A25" s="1"/>
      <c r="B25" s="4">
        <f t="shared" si="23"/>
        <v>45581</v>
      </c>
      <c r="C25" s="29">
        <f t="shared" si="29"/>
        <v>45581</v>
      </c>
      <c r="D25" s="6">
        <f t="shared" ca="1" si="1"/>
        <v>-290</v>
      </c>
      <c r="E25" s="90" t="s">
        <v>3</v>
      </c>
      <c r="F25" s="45"/>
      <c r="G25" s="46"/>
      <c r="H25" s="46"/>
      <c r="I25" s="151"/>
      <c r="J25" s="46"/>
      <c r="K25" s="152" t="str">
        <f t="shared" si="24"/>
        <v/>
      </c>
      <c r="L25" s="46"/>
      <c r="M25" s="46" t="str">
        <f t="shared" si="25"/>
        <v/>
      </c>
      <c r="N25" s="301"/>
      <c r="O25" s="171">
        <f t="shared" si="3"/>
        <v>4460.7817337776169</v>
      </c>
      <c r="P25" s="172">
        <f t="shared" si="26"/>
        <v>138281.6904026657</v>
      </c>
      <c r="Q25" s="128">
        <f t="shared" si="4"/>
        <v>138281.6904026657</v>
      </c>
      <c r="R25" s="128">
        <f t="shared" si="30"/>
        <v>0</v>
      </c>
      <c r="S25" s="195" t="str">
        <f t="shared" si="12"/>
        <v/>
      </c>
      <c r="T25" s="128"/>
      <c r="U25" s="128"/>
      <c r="V25" s="129" t="str">
        <f t="shared" si="27"/>
        <v/>
      </c>
      <c r="W25" s="129" t="str">
        <f t="shared" si="28"/>
        <v/>
      </c>
      <c r="X25" s="171">
        <f t="shared" si="31"/>
        <v>0</v>
      </c>
      <c r="Y25" s="171">
        <f t="shared" si="31"/>
        <v>0</v>
      </c>
      <c r="Z25" s="171">
        <f t="shared" si="31"/>
        <v>0</v>
      </c>
      <c r="AA25" s="186">
        <f t="shared" si="8"/>
        <v>0</v>
      </c>
      <c r="AB25" s="173">
        <f t="shared" si="13"/>
        <v>0</v>
      </c>
      <c r="AC25" s="79"/>
      <c r="AD25" s="76"/>
      <c r="AE25" s="76"/>
    </row>
    <row r="26" spans="1:31">
      <c r="A26" s="1"/>
      <c r="B26" s="4">
        <f t="shared" si="23"/>
        <v>45582</v>
      </c>
      <c r="C26" s="29">
        <f t="shared" si="29"/>
        <v>45582</v>
      </c>
      <c r="D26" s="6">
        <f t="shared" ca="1" si="1"/>
        <v>-291</v>
      </c>
      <c r="E26" s="90" t="s">
        <v>4</v>
      </c>
      <c r="F26" s="45"/>
      <c r="G26" s="46"/>
      <c r="H26" s="46"/>
      <c r="I26" s="151"/>
      <c r="J26" s="46"/>
      <c r="K26" s="152" t="str">
        <f t="shared" si="24"/>
        <v/>
      </c>
      <c r="L26" s="46"/>
      <c r="M26" s="46" t="str">
        <f t="shared" si="25"/>
        <v/>
      </c>
      <c r="N26" s="301"/>
      <c r="O26" s="171">
        <f t="shared" si="3"/>
        <v>4460.7817337776169</v>
      </c>
      <c r="P26" s="172">
        <f t="shared" si="26"/>
        <v>138281.6904026657</v>
      </c>
      <c r="Q26" s="128">
        <f t="shared" si="4"/>
        <v>138281.6904026657</v>
      </c>
      <c r="R26" s="128">
        <f t="shared" si="30"/>
        <v>0</v>
      </c>
      <c r="S26" s="195" t="str">
        <f t="shared" si="12"/>
        <v/>
      </c>
      <c r="T26" s="128"/>
      <c r="U26" s="128"/>
      <c r="V26" s="129" t="str">
        <f t="shared" si="27"/>
        <v/>
      </c>
      <c r="W26" s="129" t="str">
        <f t="shared" si="28"/>
        <v/>
      </c>
      <c r="X26" s="171">
        <f t="shared" si="31"/>
        <v>0</v>
      </c>
      <c r="Y26" s="171">
        <f t="shared" si="31"/>
        <v>0</v>
      </c>
      <c r="Z26" s="171">
        <f t="shared" si="31"/>
        <v>0</v>
      </c>
      <c r="AA26" s="186">
        <f t="shared" si="8"/>
        <v>0</v>
      </c>
      <c r="AB26" s="173">
        <f t="shared" si="13"/>
        <v>0</v>
      </c>
      <c r="AC26" s="79"/>
      <c r="AD26" s="76"/>
      <c r="AE26" s="76"/>
    </row>
    <row r="27" spans="1:31">
      <c r="A27" s="1"/>
      <c r="B27" s="4">
        <f t="shared" si="23"/>
        <v>45583</v>
      </c>
      <c r="C27" s="29">
        <f t="shared" si="29"/>
        <v>45583</v>
      </c>
      <c r="D27" s="6">
        <f t="shared" ca="1" si="1"/>
        <v>-292</v>
      </c>
      <c r="E27" s="90" t="s">
        <v>5</v>
      </c>
      <c r="F27" s="45"/>
      <c r="G27" s="46"/>
      <c r="H27" s="46"/>
      <c r="I27" s="151"/>
      <c r="J27" s="46"/>
      <c r="K27" s="152" t="str">
        <f t="shared" si="24"/>
        <v/>
      </c>
      <c r="L27" s="46"/>
      <c r="M27" s="46" t="str">
        <f t="shared" si="25"/>
        <v/>
      </c>
      <c r="N27" s="301"/>
      <c r="O27" s="171">
        <f t="shared" si="3"/>
        <v>4460.7817337776169</v>
      </c>
      <c r="P27" s="172">
        <f t="shared" si="26"/>
        <v>138281.6904026657</v>
      </c>
      <c r="Q27" s="128">
        <f t="shared" si="4"/>
        <v>138281.6904026657</v>
      </c>
      <c r="R27" s="128">
        <f t="shared" si="30"/>
        <v>0</v>
      </c>
      <c r="S27" s="195" t="str">
        <f t="shared" si="12"/>
        <v/>
      </c>
      <c r="T27" s="128"/>
      <c r="U27" s="128"/>
      <c r="V27" s="129" t="str">
        <f t="shared" si="27"/>
        <v/>
      </c>
      <c r="W27" s="129" t="str">
        <f t="shared" si="28"/>
        <v/>
      </c>
      <c r="X27" s="171">
        <f t="shared" si="31"/>
        <v>0</v>
      </c>
      <c r="Y27" s="171">
        <f t="shared" si="31"/>
        <v>0</v>
      </c>
      <c r="Z27" s="171">
        <f t="shared" si="31"/>
        <v>0</v>
      </c>
      <c r="AA27" s="186">
        <f t="shared" si="8"/>
        <v>0</v>
      </c>
      <c r="AB27" s="173">
        <f t="shared" si="13"/>
        <v>0</v>
      </c>
      <c r="AC27" s="79"/>
      <c r="AD27" s="76"/>
      <c r="AE27" s="76"/>
    </row>
    <row r="28" spans="1:31">
      <c r="A28" s="1"/>
      <c r="B28" s="4">
        <f t="shared" si="23"/>
        <v>45584</v>
      </c>
      <c r="C28" s="29">
        <f t="shared" si="29"/>
        <v>45584</v>
      </c>
      <c r="D28" s="6">
        <f t="shared" ca="1" si="1"/>
        <v>-293</v>
      </c>
      <c r="E28" s="90" t="s">
        <v>6</v>
      </c>
      <c r="F28" s="45"/>
      <c r="G28" s="46"/>
      <c r="H28" s="46"/>
      <c r="I28" s="151"/>
      <c r="J28" s="46"/>
      <c r="K28" s="152" t="str">
        <f t="shared" si="24"/>
        <v/>
      </c>
      <c r="L28" s="46"/>
      <c r="M28" s="46" t="str">
        <f t="shared" si="25"/>
        <v/>
      </c>
      <c r="N28" s="301"/>
      <c r="O28" s="171">
        <f t="shared" si="3"/>
        <v>4460.7817337776169</v>
      </c>
      <c r="P28" s="172">
        <f t="shared" si="26"/>
        <v>138281.6904026657</v>
      </c>
      <c r="Q28" s="128">
        <f t="shared" si="4"/>
        <v>138281.6904026657</v>
      </c>
      <c r="R28" s="128">
        <f t="shared" si="30"/>
        <v>0</v>
      </c>
      <c r="S28" s="195" t="str">
        <f t="shared" si="12"/>
        <v/>
      </c>
      <c r="T28" s="128"/>
      <c r="U28" s="128"/>
      <c r="V28" s="129" t="str">
        <f t="shared" si="27"/>
        <v/>
      </c>
      <c r="W28" s="129" t="str">
        <f t="shared" si="28"/>
        <v/>
      </c>
      <c r="X28" s="171">
        <f t="shared" si="31"/>
        <v>0</v>
      </c>
      <c r="Y28" s="171">
        <f t="shared" si="31"/>
        <v>0</v>
      </c>
      <c r="Z28" s="171">
        <f t="shared" si="31"/>
        <v>0</v>
      </c>
      <c r="AA28" s="186">
        <f t="shared" si="8"/>
        <v>0</v>
      </c>
      <c r="AB28" s="173">
        <f t="shared" si="13"/>
        <v>0</v>
      </c>
      <c r="AC28" s="79"/>
      <c r="AD28" s="76"/>
      <c r="AE28" s="76"/>
    </row>
    <row r="29" spans="1:31" ht="17" thickBot="1">
      <c r="A29" s="1"/>
      <c r="B29" s="43">
        <f t="shared" si="23"/>
        <v>45585</v>
      </c>
      <c r="C29" s="32">
        <f t="shared" si="29"/>
        <v>45585</v>
      </c>
      <c r="D29" s="44">
        <f t="shared" ca="1" si="1"/>
        <v>-294</v>
      </c>
      <c r="E29" s="93" t="s">
        <v>7</v>
      </c>
      <c r="F29" s="45"/>
      <c r="G29" s="46"/>
      <c r="H29" s="46"/>
      <c r="I29" s="151"/>
      <c r="J29" s="46"/>
      <c r="K29" s="152" t="str">
        <f t="shared" si="24"/>
        <v/>
      </c>
      <c r="L29" s="46"/>
      <c r="M29" s="46" t="str">
        <f t="shared" si="25"/>
        <v/>
      </c>
      <c r="N29" s="301"/>
      <c r="O29" s="171">
        <f t="shared" si="3"/>
        <v>4460.7817337776169</v>
      </c>
      <c r="P29" s="172">
        <f t="shared" si="26"/>
        <v>138281.6904026657</v>
      </c>
      <c r="Q29" s="128">
        <f t="shared" si="4"/>
        <v>138281.6904026657</v>
      </c>
      <c r="R29" s="128">
        <f t="shared" si="30"/>
        <v>0</v>
      </c>
      <c r="S29" s="195" t="str">
        <f t="shared" si="12"/>
        <v/>
      </c>
      <c r="T29" s="128"/>
      <c r="U29" s="128"/>
      <c r="V29" s="129" t="str">
        <f t="shared" si="27"/>
        <v/>
      </c>
      <c r="W29" s="129" t="str">
        <f t="shared" si="28"/>
        <v/>
      </c>
      <c r="X29" s="171">
        <f t="shared" si="31"/>
        <v>0</v>
      </c>
      <c r="Y29" s="171">
        <f t="shared" si="31"/>
        <v>0</v>
      </c>
      <c r="Z29" s="171">
        <f t="shared" si="31"/>
        <v>0</v>
      </c>
      <c r="AA29" s="186">
        <f t="shared" si="8"/>
        <v>0</v>
      </c>
      <c r="AB29" s="173">
        <f t="shared" si="13"/>
        <v>0</v>
      </c>
      <c r="AC29" s="79"/>
      <c r="AD29" s="76"/>
      <c r="AE29" s="76"/>
    </row>
    <row r="30" spans="1:31" ht="17" customHeight="1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71" t="str">
        <f t="shared" si="3"/>
        <v/>
      </c>
      <c r="P30" s="172"/>
      <c r="Q30" s="128">
        <f t="shared" si="4"/>
        <v>0</v>
      </c>
      <c r="R30" s="188"/>
      <c r="S30" s="195" t="str">
        <f t="shared" si="12"/>
        <v/>
      </c>
      <c r="T30" s="188"/>
      <c r="U30" s="188"/>
      <c r="V30" s="188"/>
      <c r="W30" s="188"/>
      <c r="X30" s="95"/>
      <c r="Y30" s="95"/>
      <c r="Z30" s="95"/>
      <c r="AA30" s="186">
        <f t="shared" si="8"/>
        <v>0</v>
      </c>
      <c r="AB30" s="173">
        <f t="shared" si="13"/>
        <v>0</v>
      </c>
      <c r="AC30" s="79"/>
      <c r="AD30" s="76"/>
      <c r="AE30" s="76"/>
    </row>
    <row r="31" spans="1:31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19.402279403274768</v>
      </c>
      <c r="G31" s="53">
        <f>H31*1.0936113</f>
        <v>34148.0128425</v>
      </c>
      <c r="H31" s="104">
        <f>INT(SUM($O23:$O29))</f>
        <v>31225</v>
      </c>
      <c r="I31" s="120"/>
      <c r="J31" s="503"/>
      <c r="K31" s="504"/>
      <c r="L31" s="504"/>
      <c r="M31" s="271"/>
      <c r="N31" s="506"/>
      <c r="O31" s="171" t="str">
        <f t="shared" si="3"/>
        <v/>
      </c>
      <c r="P31" s="172"/>
      <c r="Q31" s="128">
        <f t="shared" si="4"/>
        <v>0</v>
      </c>
      <c r="R31" s="189"/>
      <c r="S31" s="195" t="str">
        <f t="shared" si="12"/>
        <v/>
      </c>
      <c r="T31" s="189"/>
      <c r="U31" s="189"/>
      <c r="V31" s="189"/>
      <c r="W31" s="189"/>
      <c r="X31" s="95"/>
      <c r="Y31" s="95"/>
      <c r="Z31" s="95"/>
      <c r="AA31" s="186">
        <f t="shared" si="8"/>
        <v>0</v>
      </c>
      <c r="AB31" s="173">
        <f t="shared" si="13"/>
        <v>0</v>
      </c>
      <c r="AC31" s="79"/>
      <c r="AD31" s="76"/>
      <c r="AE31" s="76"/>
    </row>
    <row r="32" spans="1:31" ht="17" thickTop="1">
      <c r="A32" s="1"/>
      <c r="B32" s="47">
        <f t="shared" ref="B32:B38" si="32">IF(B$2&gt;C32,0,C32)</f>
        <v>45586</v>
      </c>
      <c r="C32" s="31">
        <f>C29+1</f>
        <v>45586</v>
      </c>
      <c r="D32" s="18">
        <f t="shared" ca="1" si="1"/>
        <v>-295</v>
      </c>
      <c r="E32" s="94" t="s">
        <v>1</v>
      </c>
      <c r="F32" s="45"/>
      <c r="G32" s="46"/>
      <c r="H32" s="46"/>
      <c r="I32" s="151"/>
      <c r="J32" s="46"/>
      <c r="K32" s="152" t="str">
        <f t="shared" ref="K32:K38" si="33">IF(R32=0,"",IF(L32="","",J32))</f>
        <v/>
      </c>
      <c r="L32" s="121"/>
      <c r="M32" s="46" t="str">
        <f>IF(R32=0,"",IF(J32="","",L32))</f>
        <v/>
      </c>
      <c r="N32" s="301"/>
      <c r="O32" s="171">
        <f t="shared" si="3"/>
        <v>4460.7817337776169</v>
      </c>
      <c r="P32" s="172">
        <f t="shared" ref="P32:P38" si="34">H$56</f>
        <v>138281.6904026657</v>
      </c>
      <c r="Q32" s="128">
        <f t="shared" si="4"/>
        <v>138281.6904026657</v>
      </c>
      <c r="R32" s="128">
        <f>IF(R$2=3,H32+G32/1.0936133+F32/0.0006213712,IF(R$2=2,H32*1.0936133+G32+F32/0.0005681818,IF(R$2=1,H32*0.0005681818*1.0936133+G32*0.0005681818+F32,"")))</f>
        <v>0</v>
      </c>
      <c r="S32" s="195" t="str">
        <f t="shared" si="12"/>
        <v/>
      </c>
      <c r="T32" s="128"/>
      <c r="U32" s="128"/>
      <c r="V32" s="129" t="str">
        <f t="shared" ref="V32:V38" si="35">IF(L32="","",IF(R32=0,"",IF(B32=0,"",IF($R$2=3,R32/L32*60/1000,IF($R$2=2,R32/L32*60/1760,IF($R$2=1,R32/L32*60,""))))))</f>
        <v/>
      </c>
      <c r="W32" s="129" t="str">
        <f t="shared" ref="W32:W38" si="36">IF(R32=0,"",IF(L32="","",V32*L32))</f>
        <v/>
      </c>
      <c r="X32" s="171">
        <f>F32+X29</f>
        <v>0</v>
      </c>
      <c r="Y32" s="171">
        <f>G32+Y29</f>
        <v>0</v>
      </c>
      <c r="Z32" s="171">
        <f>H32+Z29</f>
        <v>0</v>
      </c>
      <c r="AA32" s="186">
        <f t="shared" si="8"/>
        <v>0</v>
      </c>
      <c r="AB32" s="173">
        <f t="shared" si="13"/>
        <v>0</v>
      </c>
      <c r="AC32" s="79"/>
      <c r="AD32" s="76"/>
      <c r="AE32" s="76"/>
    </row>
    <row r="33" spans="1:31">
      <c r="A33" s="1"/>
      <c r="B33" s="4">
        <f t="shared" si="32"/>
        <v>45587</v>
      </c>
      <c r="C33" s="29">
        <f t="shared" ref="C33:C38" si="37">C32+1</f>
        <v>45587</v>
      </c>
      <c r="D33" s="6">
        <f t="shared" ca="1" si="1"/>
        <v>-296</v>
      </c>
      <c r="E33" s="90" t="s">
        <v>2</v>
      </c>
      <c r="F33" s="45"/>
      <c r="G33" s="46"/>
      <c r="H33" s="46"/>
      <c r="I33" s="151"/>
      <c r="J33" s="46"/>
      <c r="K33" s="152" t="str">
        <f t="shared" si="33"/>
        <v/>
      </c>
      <c r="L33" s="46"/>
      <c r="M33" s="46" t="str">
        <f t="shared" ref="M33:M38" si="38">IF(R33=0,"",IF(J33="","",L33))</f>
        <v/>
      </c>
      <c r="N33" s="301"/>
      <c r="O33" s="171">
        <f t="shared" si="3"/>
        <v>4460.7817337776169</v>
      </c>
      <c r="P33" s="172">
        <f t="shared" si="34"/>
        <v>138281.6904026657</v>
      </c>
      <c r="Q33" s="128">
        <f t="shared" si="4"/>
        <v>138281.6904026657</v>
      </c>
      <c r="R33" s="128">
        <f t="shared" ref="R33:R38" si="39">IF(R$2=3,H33+G33/1.0936133+F33/0.0006213712,IF(R$2=2,H33*1.0936133+G33+F33/0.0005681818,IF(R$2=1,H33*0.0005681818*1.0936133+G33*0.0005681818+F33,"")))</f>
        <v>0</v>
      </c>
      <c r="S33" s="195" t="str">
        <f t="shared" si="12"/>
        <v/>
      </c>
      <c r="T33" s="128"/>
      <c r="U33" s="128"/>
      <c r="V33" s="129" t="str">
        <f t="shared" si="35"/>
        <v/>
      </c>
      <c r="W33" s="129" t="str">
        <f t="shared" si="36"/>
        <v/>
      </c>
      <c r="X33" s="171">
        <f t="shared" ref="X33:Z38" si="40">F33+X32</f>
        <v>0</v>
      </c>
      <c r="Y33" s="171">
        <f t="shared" si="40"/>
        <v>0</v>
      </c>
      <c r="Z33" s="171">
        <f t="shared" si="40"/>
        <v>0</v>
      </c>
      <c r="AA33" s="186">
        <f t="shared" si="8"/>
        <v>0</v>
      </c>
      <c r="AB33" s="173">
        <f t="shared" si="13"/>
        <v>0</v>
      </c>
      <c r="AC33" s="79"/>
      <c r="AD33" s="76"/>
      <c r="AE33" s="76"/>
    </row>
    <row r="34" spans="1:31">
      <c r="A34" s="1"/>
      <c r="B34" s="4">
        <f t="shared" si="32"/>
        <v>45588</v>
      </c>
      <c r="C34" s="29">
        <f t="shared" si="37"/>
        <v>45588</v>
      </c>
      <c r="D34" s="6">
        <f t="shared" ca="1" si="1"/>
        <v>-297</v>
      </c>
      <c r="E34" s="90" t="s">
        <v>3</v>
      </c>
      <c r="F34" s="45"/>
      <c r="G34" s="46"/>
      <c r="H34" s="46"/>
      <c r="I34" s="151"/>
      <c r="J34" s="46"/>
      <c r="K34" s="152" t="str">
        <f t="shared" si="33"/>
        <v/>
      </c>
      <c r="L34" s="46"/>
      <c r="M34" s="46" t="str">
        <f t="shared" si="38"/>
        <v/>
      </c>
      <c r="N34" s="301"/>
      <c r="O34" s="171">
        <f t="shared" si="3"/>
        <v>4460.7817337776169</v>
      </c>
      <c r="P34" s="172">
        <f t="shared" si="34"/>
        <v>138281.6904026657</v>
      </c>
      <c r="Q34" s="128">
        <f t="shared" si="4"/>
        <v>138281.6904026657</v>
      </c>
      <c r="R34" s="128">
        <f t="shared" si="39"/>
        <v>0</v>
      </c>
      <c r="S34" s="195" t="str">
        <f t="shared" si="12"/>
        <v/>
      </c>
      <c r="T34" s="128"/>
      <c r="U34" s="128"/>
      <c r="V34" s="129" t="str">
        <f t="shared" si="35"/>
        <v/>
      </c>
      <c r="W34" s="129" t="str">
        <f t="shared" si="36"/>
        <v/>
      </c>
      <c r="X34" s="171">
        <f t="shared" si="40"/>
        <v>0</v>
      </c>
      <c r="Y34" s="171">
        <f t="shared" si="40"/>
        <v>0</v>
      </c>
      <c r="Z34" s="171">
        <f t="shared" si="40"/>
        <v>0</v>
      </c>
      <c r="AA34" s="186">
        <f t="shared" si="8"/>
        <v>0</v>
      </c>
      <c r="AB34" s="173">
        <f t="shared" si="13"/>
        <v>0</v>
      </c>
      <c r="AC34" s="79"/>
      <c r="AD34" s="76"/>
      <c r="AE34" s="76"/>
    </row>
    <row r="35" spans="1:31">
      <c r="A35" s="1"/>
      <c r="B35" s="4">
        <f t="shared" si="32"/>
        <v>45589</v>
      </c>
      <c r="C35" s="29">
        <f t="shared" si="37"/>
        <v>45589</v>
      </c>
      <c r="D35" s="6">
        <f t="shared" ca="1" si="1"/>
        <v>-298</v>
      </c>
      <c r="E35" s="90" t="s">
        <v>4</v>
      </c>
      <c r="F35" s="45"/>
      <c r="G35" s="46"/>
      <c r="H35" s="46"/>
      <c r="I35" s="151"/>
      <c r="J35" s="46"/>
      <c r="K35" s="152" t="str">
        <f t="shared" si="33"/>
        <v/>
      </c>
      <c r="L35" s="46"/>
      <c r="M35" s="46" t="str">
        <f t="shared" si="38"/>
        <v/>
      </c>
      <c r="N35" s="310"/>
      <c r="O35" s="171">
        <f t="shared" si="3"/>
        <v>4460.7817337776169</v>
      </c>
      <c r="P35" s="172">
        <f t="shared" si="34"/>
        <v>138281.6904026657</v>
      </c>
      <c r="Q35" s="128">
        <f t="shared" si="4"/>
        <v>138281.6904026657</v>
      </c>
      <c r="R35" s="128">
        <f t="shared" si="39"/>
        <v>0</v>
      </c>
      <c r="S35" s="195" t="str">
        <f t="shared" si="12"/>
        <v/>
      </c>
      <c r="T35" s="128"/>
      <c r="U35" s="128"/>
      <c r="V35" s="129" t="str">
        <f t="shared" si="35"/>
        <v/>
      </c>
      <c r="W35" s="129" t="str">
        <f t="shared" si="36"/>
        <v/>
      </c>
      <c r="X35" s="171">
        <f t="shared" si="40"/>
        <v>0</v>
      </c>
      <c r="Y35" s="171">
        <f t="shared" si="40"/>
        <v>0</v>
      </c>
      <c r="Z35" s="171">
        <f t="shared" si="40"/>
        <v>0</v>
      </c>
      <c r="AA35" s="186">
        <f t="shared" si="8"/>
        <v>0</v>
      </c>
      <c r="AB35" s="173">
        <f t="shared" si="13"/>
        <v>0</v>
      </c>
      <c r="AC35" s="79"/>
      <c r="AD35" s="76"/>
      <c r="AE35" s="76"/>
    </row>
    <row r="36" spans="1:31">
      <c r="A36" s="1"/>
      <c r="B36" s="4">
        <f t="shared" si="32"/>
        <v>45590</v>
      </c>
      <c r="C36" s="29">
        <f t="shared" si="37"/>
        <v>45590</v>
      </c>
      <c r="D36" s="6">
        <f t="shared" ca="1" si="1"/>
        <v>-299</v>
      </c>
      <c r="E36" s="90" t="s">
        <v>5</v>
      </c>
      <c r="F36" s="45"/>
      <c r="G36" s="46"/>
      <c r="H36" s="46"/>
      <c r="I36" s="151"/>
      <c r="J36" s="46"/>
      <c r="K36" s="152" t="str">
        <f t="shared" si="33"/>
        <v/>
      </c>
      <c r="L36" s="46"/>
      <c r="M36" s="46" t="str">
        <f t="shared" si="38"/>
        <v/>
      </c>
      <c r="N36" s="301"/>
      <c r="O36" s="171">
        <f t="shared" si="3"/>
        <v>4460.7817337776169</v>
      </c>
      <c r="P36" s="172">
        <f t="shared" si="34"/>
        <v>138281.6904026657</v>
      </c>
      <c r="Q36" s="128">
        <f t="shared" si="4"/>
        <v>138281.6904026657</v>
      </c>
      <c r="R36" s="128">
        <f t="shared" si="39"/>
        <v>0</v>
      </c>
      <c r="S36" s="195" t="str">
        <f t="shared" si="12"/>
        <v/>
      </c>
      <c r="T36" s="128"/>
      <c r="U36" s="128"/>
      <c r="V36" s="129" t="str">
        <f t="shared" si="35"/>
        <v/>
      </c>
      <c r="W36" s="129" t="str">
        <f t="shared" si="36"/>
        <v/>
      </c>
      <c r="X36" s="171">
        <f t="shared" si="40"/>
        <v>0</v>
      </c>
      <c r="Y36" s="171">
        <f t="shared" si="40"/>
        <v>0</v>
      </c>
      <c r="Z36" s="171">
        <f t="shared" si="40"/>
        <v>0</v>
      </c>
      <c r="AA36" s="186">
        <f t="shared" si="8"/>
        <v>0</v>
      </c>
      <c r="AB36" s="173">
        <f t="shared" si="13"/>
        <v>0</v>
      </c>
      <c r="AC36" s="79"/>
      <c r="AD36" s="76"/>
      <c r="AE36" s="76"/>
    </row>
    <row r="37" spans="1:31">
      <c r="A37" s="1"/>
      <c r="B37" s="4">
        <f t="shared" si="32"/>
        <v>45591</v>
      </c>
      <c r="C37" s="29">
        <f t="shared" si="37"/>
        <v>45591</v>
      </c>
      <c r="D37" s="6">
        <f t="shared" ca="1" si="1"/>
        <v>-300</v>
      </c>
      <c r="E37" s="90" t="s">
        <v>6</v>
      </c>
      <c r="F37" s="45"/>
      <c r="G37" s="46"/>
      <c r="H37" s="46"/>
      <c r="I37" s="151"/>
      <c r="J37" s="46"/>
      <c r="K37" s="152" t="str">
        <f t="shared" si="33"/>
        <v/>
      </c>
      <c r="L37" s="46"/>
      <c r="M37" s="46" t="str">
        <f t="shared" si="38"/>
        <v/>
      </c>
      <c r="N37" s="310"/>
      <c r="O37" s="171">
        <f t="shared" si="3"/>
        <v>4460.7817337776169</v>
      </c>
      <c r="P37" s="172">
        <f t="shared" si="34"/>
        <v>138281.6904026657</v>
      </c>
      <c r="Q37" s="128">
        <f t="shared" si="4"/>
        <v>138281.6904026657</v>
      </c>
      <c r="R37" s="128">
        <f t="shared" si="39"/>
        <v>0</v>
      </c>
      <c r="S37" s="195" t="str">
        <f t="shared" si="12"/>
        <v/>
      </c>
      <c r="T37" s="128"/>
      <c r="U37" s="128"/>
      <c r="V37" s="129" t="str">
        <f t="shared" si="35"/>
        <v/>
      </c>
      <c r="W37" s="129" t="str">
        <f t="shared" si="36"/>
        <v/>
      </c>
      <c r="X37" s="171">
        <f t="shared" si="40"/>
        <v>0</v>
      </c>
      <c r="Y37" s="171">
        <f t="shared" si="40"/>
        <v>0</v>
      </c>
      <c r="Z37" s="171">
        <f t="shared" si="40"/>
        <v>0</v>
      </c>
      <c r="AA37" s="186">
        <f t="shared" si="8"/>
        <v>0</v>
      </c>
      <c r="AB37" s="173">
        <f t="shared" si="13"/>
        <v>0</v>
      </c>
      <c r="AC37" s="79"/>
      <c r="AD37" s="76"/>
      <c r="AE37" s="76"/>
    </row>
    <row r="38" spans="1:31" ht="17" thickBot="1">
      <c r="A38" s="1"/>
      <c r="B38" s="43">
        <f t="shared" si="32"/>
        <v>45592</v>
      </c>
      <c r="C38" s="32">
        <f t="shared" si="37"/>
        <v>45592</v>
      </c>
      <c r="D38" s="44">
        <f t="shared" ca="1" si="1"/>
        <v>-301</v>
      </c>
      <c r="E38" s="93" t="s">
        <v>7</v>
      </c>
      <c r="F38" s="45"/>
      <c r="G38" s="46"/>
      <c r="H38" s="46"/>
      <c r="I38" s="151"/>
      <c r="J38" s="46"/>
      <c r="K38" s="152" t="str">
        <f t="shared" si="33"/>
        <v/>
      </c>
      <c r="L38" s="46"/>
      <c r="M38" s="46" t="str">
        <f t="shared" si="38"/>
        <v/>
      </c>
      <c r="N38" s="303"/>
      <c r="O38" s="171">
        <f t="shared" si="3"/>
        <v>4460.7817337776169</v>
      </c>
      <c r="P38" s="172">
        <f t="shared" si="34"/>
        <v>138281.6904026657</v>
      </c>
      <c r="Q38" s="128">
        <f t="shared" si="4"/>
        <v>138281.6904026657</v>
      </c>
      <c r="R38" s="128">
        <f t="shared" si="39"/>
        <v>0</v>
      </c>
      <c r="S38" s="195" t="str">
        <f t="shared" si="12"/>
        <v/>
      </c>
      <c r="T38" s="128"/>
      <c r="U38" s="128"/>
      <c r="V38" s="129" t="str">
        <f t="shared" si="35"/>
        <v/>
      </c>
      <c r="W38" s="129" t="str">
        <f t="shared" si="36"/>
        <v/>
      </c>
      <c r="X38" s="171">
        <f t="shared" si="40"/>
        <v>0</v>
      </c>
      <c r="Y38" s="171">
        <f t="shared" si="40"/>
        <v>0</v>
      </c>
      <c r="Z38" s="171">
        <f t="shared" si="40"/>
        <v>0</v>
      </c>
      <c r="AA38" s="186">
        <f t="shared" si="8"/>
        <v>0</v>
      </c>
      <c r="AB38" s="173">
        <f t="shared" si="13"/>
        <v>0</v>
      </c>
      <c r="AC38" s="79"/>
      <c r="AD38" s="76"/>
      <c r="AE38" s="76"/>
    </row>
    <row r="39" spans="1:31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71" t="str">
        <f t="shared" si="3"/>
        <v/>
      </c>
      <c r="P39" s="172"/>
      <c r="Q39" s="128">
        <f t="shared" si="4"/>
        <v>0</v>
      </c>
      <c r="R39" s="188"/>
      <c r="S39" s="195" t="str">
        <f t="shared" si="12"/>
        <v/>
      </c>
      <c r="T39" s="188"/>
      <c r="U39" s="188"/>
      <c r="V39" s="188"/>
      <c r="W39" s="188"/>
      <c r="X39" s="95"/>
      <c r="Y39" s="95"/>
      <c r="Z39" s="95"/>
      <c r="AA39" s="186">
        <f t="shared" si="8"/>
        <v>0</v>
      </c>
      <c r="AB39" s="173">
        <f t="shared" si="13"/>
        <v>0</v>
      </c>
      <c r="AC39" s="79"/>
      <c r="AD39" s="76"/>
      <c r="AE39" s="76"/>
    </row>
    <row r="40" spans="1:31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19.402279403274768</v>
      </c>
      <c r="G40" s="53">
        <f>H40*1.0936113</f>
        <v>34148.0128425</v>
      </c>
      <c r="H40" s="5">
        <f>INT(SUM($O32:$O38))</f>
        <v>31225</v>
      </c>
      <c r="I40" s="120"/>
      <c r="J40" s="123"/>
      <c r="K40" s="124"/>
      <c r="L40" s="159">
        <f>COUNT(S5:S51)-COUNT(V5:V51)</f>
        <v>0</v>
      </c>
      <c r="M40" s="124"/>
      <c r="N40" s="124"/>
      <c r="O40" s="171" t="str">
        <f t="shared" si="3"/>
        <v/>
      </c>
      <c r="P40" s="172"/>
      <c r="Q40" s="128">
        <f t="shared" si="4"/>
        <v>0</v>
      </c>
      <c r="R40" s="189"/>
      <c r="S40" s="195" t="str">
        <f t="shared" si="12"/>
        <v/>
      </c>
      <c r="T40" s="189"/>
      <c r="U40" s="189"/>
      <c r="V40" s="189"/>
      <c r="W40" s="189"/>
      <c r="X40" s="95"/>
      <c r="Y40" s="95"/>
      <c r="Z40" s="95"/>
      <c r="AA40" s="186">
        <f t="shared" si="8"/>
        <v>0</v>
      </c>
      <c r="AB40" s="173">
        <f t="shared" si="13"/>
        <v>0</v>
      </c>
      <c r="AC40" s="79"/>
      <c r="AD40" s="76"/>
      <c r="AE40" s="76"/>
    </row>
    <row r="41" spans="1:31" ht="17" thickTop="1">
      <c r="A41" s="1"/>
      <c r="B41" s="47">
        <f t="shared" ref="B41:B47" si="41">IF(B$3&lt;C41,0,C41)</f>
        <v>45593</v>
      </c>
      <c r="C41" s="31">
        <f>C38+1</f>
        <v>45593</v>
      </c>
      <c r="D41" s="18">
        <f t="shared" ca="1" si="1"/>
        <v>-302</v>
      </c>
      <c r="E41" s="94" t="str">
        <f>IF(B41=0,"","Monday")</f>
        <v>Monday</v>
      </c>
      <c r="F41" s="45"/>
      <c r="G41" s="46"/>
      <c r="H41" s="46"/>
      <c r="I41" s="151"/>
      <c r="J41" s="101"/>
      <c r="K41" s="152" t="str">
        <f t="shared" ref="K41:K47" si="42">IF(R41=0,"",IF(L41="","",J41))</f>
        <v/>
      </c>
      <c r="L41" s="101"/>
      <c r="M41" s="46" t="str">
        <f>IF(R41=0,"",IF(J41="","",L41))</f>
        <v/>
      </c>
      <c r="N41" s="301"/>
      <c r="O41" s="171">
        <f t="shared" si="3"/>
        <v>4460.7817337776169</v>
      </c>
      <c r="P41" s="172">
        <f t="shared" ref="P41:P47" si="43">H$56</f>
        <v>138281.6904026657</v>
      </c>
      <c r="Q41" s="128">
        <f t="shared" si="4"/>
        <v>138281.6904026657</v>
      </c>
      <c r="R41" s="128">
        <f>IF(R$2=3,H41+G41/1.0936133+F41/0.0006213712,IF(R$2=2,H41*1.0936133+G41+F41/0.0005681818,IF(R$2=1,H41*0.0005681818*1.0936133+G41*0.0005681818+F41,"")))</f>
        <v>0</v>
      </c>
      <c r="S41" s="195" t="str">
        <f t="shared" si="12"/>
        <v/>
      </c>
      <c r="T41" s="128"/>
      <c r="U41" s="128"/>
      <c r="V41" s="129" t="str">
        <f t="shared" ref="V41:V47" si="44">IF(L41="","",IF(R41=0,"",IF(B41=0,"",IF($R$2=3,R41/L41*60/1000,IF($R$2=2,R41/L41*60/1760,IF($R$2=1,R41/L41*60,""))))))</f>
        <v/>
      </c>
      <c r="W41" s="129" t="str">
        <f t="shared" ref="W41:W47" si="45">IF(R41=0,"",IF(L41="","",V41*L41))</f>
        <v/>
      </c>
      <c r="X41" s="171">
        <f>F41+X38</f>
        <v>0</v>
      </c>
      <c r="Y41" s="171">
        <f>G41+Y38</f>
        <v>0</v>
      </c>
      <c r="Z41" s="171">
        <f>H41+Z38</f>
        <v>0</v>
      </c>
      <c r="AA41" s="186">
        <f t="shared" si="8"/>
        <v>0</v>
      </c>
      <c r="AB41" s="173">
        <f t="shared" si="13"/>
        <v>0</v>
      </c>
      <c r="AC41" s="79"/>
      <c r="AD41" s="76"/>
      <c r="AE41" s="76"/>
    </row>
    <row r="42" spans="1:31">
      <c r="A42" s="1"/>
      <c r="B42" s="4">
        <f t="shared" si="41"/>
        <v>45594</v>
      </c>
      <c r="C42" s="29">
        <f t="shared" ref="C42:C47" si="46">C41+1</f>
        <v>45594</v>
      </c>
      <c r="D42" s="6">
        <f t="shared" ca="1" si="1"/>
        <v>-303</v>
      </c>
      <c r="E42" s="90" t="str">
        <f>IF(B42=0,"","Tuesday")</f>
        <v>Tuesday</v>
      </c>
      <c r="F42" s="45"/>
      <c r="G42" s="46"/>
      <c r="H42" s="46"/>
      <c r="I42" s="151"/>
      <c r="J42" s="46"/>
      <c r="K42" s="152" t="str">
        <f t="shared" si="42"/>
        <v/>
      </c>
      <c r="L42" s="46"/>
      <c r="M42" s="46" t="str">
        <f t="shared" ref="M42:M47" si="47">IF(R42=0,"",IF(J42="","",L42))</f>
        <v/>
      </c>
      <c r="N42" s="301"/>
      <c r="O42" s="171">
        <f t="shared" si="3"/>
        <v>4460.7817337776169</v>
      </c>
      <c r="P42" s="172">
        <f t="shared" si="43"/>
        <v>138281.6904026657</v>
      </c>
      <c r="Q42" s="128">
        <f t="shared" si="4"/>
        <v>138281.6904026657</v>
      </c>
      <c r="R42" s="128">
        <f t="shared" ref="R42:R47" si="48">IF(R$2=3,H42+G42/1.0936133+F42/0.0006213712,IF(R$2=2,H42*1.0936133+G42+F42/0.0005681818,IF(R$2=1,H42*0.0005681818*1.0936133+G42*0.0005681818+F42,"")))</f>
        <v>0</v>
      </c>
      <c r="S42" s="195" t="str">
        <f t="shared" si="12"/>
        <v/>
      </c>
      <c r="T42" s="128"/>
      <c r="U42" s="128"/>
      <c r="V42" s="129" t="str">
        <f t="shared" si="44"/>
        <v/>
      </c>
      <c r="W42" s="129" t="str">
        <f t="shared" si="45"/>
        <v/>
      </c>
      <c r="X42" s="171">
        <f t="shared" ref="X42:Z47" si="49">F42+X41</f>
        <v>0</v>
      </c>
      <c r="Y42" s="171">
        <f t="shared" si="49"/>
        <v>0</v>
      </c>
      <c r="Z42" s="171">
        <f t="shared" si="49"/>
        <v>0</v>
      </c>
      <c r="AA42" s="186">
        <f t="shared" si="8"/>
        <v>0</v>
      </c>
      <c r="AB42" s="173">
        <f t="shared" si="13"/>
        <v>0</v>
      </c>
      <c r="AC42" s="79"/>
      <c r="AD42" s="76"/>
      <c r="AE42" s="76"/>
    </row>
    <row r="43" spans="1:31">
      <c r="A43" s="1"/>
      <c r="B43" s="4">
        <f t="shared" si="41"/>
        <v>45595</v>
      </c>
      <c r="C43" s="29">
        <f t="shared" si="46"/>
        <v>45595</v>
      </c>
      <c r="D43" s="6">
        <f t="shared" ca="1" si="1"/>
        <v>-304</v>
      </c>
      <c r="E43" s="90" t="str">
        <f>IF(B43=0,"","Wednesday")</f>
        <v>Wednesday</v>
      </c>
      <c r="F43" s="45"/>
      <c r="G43" s="46"/>
      <c r="H43" s="46"/>
      <c r="I43" s="151"/>
      <c r="J43" s="46"/>
      <c r="K43" s="152" t="str">
        <f t="shared" si="42"/>
        <v/>
      </c>
      <c r="L43" s="46"/>
      <c r="M43" s="46" t="str">
        <f t="shared" si="47"/>
        <v/>
      </c>
      <c r="N43" s="301"/>
      <c r="O43" s="171">
        <f t="shared" si="3"/>
        <v>4460.7817337776169</v>
      </c>
      <c r="P43" s="172">
        <f t="shared" si="43"/>
        <v>138281.6904026657</v>
      </c>
      <c r="Q43" s="128">
        <f t="shared" si="4"/>
        <v>138281.6904026657</v>
      </c>
      <c r="R43" s="128">
        <f t="shared" si="48"/>
        <v>0</v>
      </c>
      <c r="S43" s="195" t="str">
        <f t="shared" si="12"/>
        <v/>
      </c>
      <c r="T43" s="128"/>
      <c r="U43" s="128"/>
      <c r="V43" s="129" t="str">
        <f t="shared" si="44"/>
        <v/>
      </c>
      <c r="W43" s="129" t="str">
        <f t="shared" si="45"/>
        <v/>
      </c>
      <c r="X43" s="171">
        <f t="shared" si="49"/>
        <v>0</v>
      </c>
      <c r="Y43" s="171">
        <f t="shared" si="49"/>
        <v>0</v>
      </c>
      <c r="Z43" s="171">
        <f t="shared" si="49"/>
        <v>0</v>
      </c>
      <c r="AA43" s="186">
        <f t="shared" si="8"/>
        <v>0</v>
      </c>
      <c r="AB43" s="173">
        <f t="shared" si="13"/>
        <v>0</v>
      </c>
      <c r="AC43" s="79"/>
      <c r="AD43" s="76"/>
      <c r="AE43" s="76"/>
    </row>
    <row r="44" spans="1:31">
      <c r="A44" s="1"/>
      <c r="B44" s="4">
        <f t="shared" si="41"/>
        <v>45596</v>
      </c>
      <c r="C44" s="29">
        <f t="shared" si="46"/>
        <v>45596</v>
      </c>
      <c r="D44" s="6">
        <f t="shared" ca="1" si="1"/>
        <v>-305</v>
      </c>
      <c r="E44" s="90" t="str">
        <f>IF(B44=0,"","Thursday")</f>
        <v>Thursday</v>
      </c>
      <c r="F44" s="45"/>
      <c r="G44" s="46"/>
      <c r="H44" s="46"/>
      <c r="I44" s="151"/>
      <c r="J44" s="46"/>
      <c r="K44" s="152" t="str">
        <f t="shared" si="42"/>
        <v/>
      </c>
      <c r="L44" s="46"/>
      <c r="M44" s="46" t="str">
        <f t="shared" si="47"/>
        <v/>
      </c>
      <c r="N44" s="301"/>
      <c r="O44" s="171">
        <f t="shared" si="3"/>
        <v>4460.7817337776169</v>
      </c>
      <c r="P44" s="172">
        <f t="shared" si="43"/>
        <v>138281.6904026657</v>
      </c>
      <c r="Q44" s="128">
        <f t="shared" si="4"/>
        <v>138281.6904026657</v>
      </c>
      <c r="R44" s="128">
        <f t="shared" si="48"/>
        <v>0</v>
      </c>
      <c r="S44" s="195" t="str">
        <f t="shared" si="12"/>
        <v/>
      </c>
      <c r="T44" s="128"/>
      <c r="U44" s="128"/>
      <c r="V44" s="129" t="str">
        <f t="shared" si="44"/>
        <v/>
      </c>
      <c r="W44" s="129" t="str">
        <f t="shared" si="45"/>
        <v/>
      </c>
      <c r="X44" s="171">
        <f t="shared" si="49"/>
        <v>0</v>
      </c>
      <c r="Y44" s="171">
        <f t="shared" si="49"/>
        <v>0</v>
      </c>
      <c r="Z44" s="171">
        <f t="shared" si="49"/>
        <v>0</v>
      </c>
      <c r="AA44" s="186">
        <f t="shared" si="8"/>
        <v>0</v>
      </c>
      <c r="AB44" s="173">
        <f t="shared" si="13"/>
        <v>0</v>
      </c>
      <c r="AC44" s="79"/>
      <c r="AD44" s="76"/>
      <c r="AE44" s="76"/>
    </row>
    <row r="45" spans="1:31">
      <c r="A45" s="1"/>
      <c r="B45" s="4">
        <f t="shared" si="41"/>
        <v>0</v>
      </c>
      <c r="C45" s="29">
        <f t="shared" si="46"/>
        <v>45597</v>
      </c>
      <c r="D45" s="6">
        <f t="shared" ca="1" si="1"/>
        <v>-306</v>
      </c>
      <c r="E45" s="90" t="str">
        <f>IF(B45=0,"","Friday")</f>
        <v/>
      </c>
      <c r="F45" s="45"/>
      <c r="G45" s="46"/>
      <c r="H45" s="46"/>
      <c r="I45" s="151"/>
      <c r="J45" s="46"/>
      <c r="K45" s="152" t="str">
        <f t="shared" si="42"/>
        <v/>
      </c>
      <c r="L45" s="46"/>
      <c r="M45" s="46" t="str">
        <f t="shared" si="47"/>
        <v/>
      </c>
      <c r="N45" s="301"/>
      <c r="O45" s="171" t="str">
        <f t="shared" si="3"/>
        <v/>
      </c>
      <c r="P45" s="172">
        <f t="shared" si="43"/>
        <v>138281.6904026657</v>
      </c>
      <c r="Q45" s="128">
        <f t="shared" si="4"/>
        <v>138281.6904026657</v>
      </c>
      <c r="R45" s="128">
        <f t="shared" si="48"/>
        <v>0</v>
      </c>
      <c r="S45" s="195" t="str">
        <f t="shared" si="12"/>
        <v/>
      </c>
      <c r="T45" s="128"/>
      <c r="U45" s="128"/>
      <c r="V45" s="129" t="str">
        <f t="shared" si="44"/>
        <v/>
      </c>
      <c r="W45" s="129" t="str">
        <f t="shared" si="45"/>
        <v/>
      </c>
      <c r="X45" s="171">
        <f t="shared" si="49"/>
        <v>0</v>
      </c>
      <c r="Y45" s="171">
        <f t="shared" si="49"/>
        <v>0</v>
      </c>
      <c r="Z45" s="171">
        <f t="shared" si="49"/>
        <v>0</v>
      </c>
      <c r="AA45" s="186">
        <f t="shared" si="8"/>
        <v>0</v>
      </c>
      <c r="AB45" s="173">
        <f t="shared" si="13"/>
        <v>0</v>
      </c>
      <c r="AC45" s="79"/>
      <c r="AD45" s="76"/>
      <c r="AE45" s="76"/>
    </row>
    <row r="46" spans="1:31">
      <c r="A46" s="1"/>
      <c r="B46" s="4">
        <f t="shared" si="41"/>
        <v>0</v>
      </c>
      <c r="C46" s="29">
        <f t="shared" si="46"/>
        <v>45598</v>
      </c>
      <c r="D46" s="6">
        <f t="shared" ca="1" si="1"/>
        <v>-307</v>
      </c>
      <c r="E46" s="90" t="str">
        <f>IF(B46=0,"","Saturday")</f>
        <v/>
      </c>
      <c r="F46" s="45"/>
      <c r="G46" s="46"/>
      <c r="H46" s="46"/>
      <c r="I46" s="151"/>
      <c r="J46" s="46"/>
      <c r="K46" s="152" t="str">
        <f t="shared" si="42"/>
        <v/>
      </c>
      <c r="L46" s="46"/>
      <c r="M46" s="46" t="str">
        <f t="shared" si="47"/>
        <v/>
      </c>
      <c r="N46" s="301"/>
      <c r="O46" s="171" t="str">
        <f t="shared" si="3"/>
        <v/>
      </c>
      <c r="P46" s="172">
        <f t="shared" si="43"/>
        <v>138281.6904026657</v>
      </c>
      <c r="Q46" s="128">
        <f t="shared" si="4"/>
        <v>138281.6904026657</v>
      </c>
      <c r="R46" s="128">
        <f t="shared" si="48"/>
        <v>0</v>
      </c>
      <c r="S46" s="195" t="str">
        <f t="shared" si="12"/>
        <v/>
      </c>
      <c r="T46" s="128"/>
      <c r="U46" s="128"/>
      <c r="V46" s="129" t="str">
        <f t="shared" si="44"/>
        <v/>
      </c>
      <c r="W46" s="129" t="str">
        <f t="shared" si="45"/>
        <v/>
      </c>
      <c r="X46" s="171">
        <f t="shared" si="49"/>
        <v>0</v>
      </c>
      <c r="Y46" s="171">
        <f t="shared" si="49"/>
        <v>0</v>
      </c>
      <c r="Z46" s="171">
        <f t="shared" si="49"/>
        <v>0</v>
      </c>
      <c r="AA46" s="186">
        <f t="shared" si="8"/>
        <v>0</v>
      </c>
      <c r="AB46" s="173">
        <f t="shared" si="13"/>
        <v>0</v>
      </c>
      <c r="AC46" s="79"/>
      <c r="AD46" s="76"/>
      <c r="AE46" s="76"/>
    </row>
    <row r="47" spans="1:31" ht="17" thickBot="1">
      <c r="A47" s="1"/>
      <c r="B47" s="43">
        <f t="shared" si="41"/>
        <v>0</v>
      </c>
      <c r="C47" s="32">
        <f t="shared" si="46"/>
        <v>45599</v>
      </c>
      <c r="D47" s="44">
        <f t="shared" ca="1" si="1"/>
        <v>-308</v>
      </c>
      <c r="E47" s="93" t="str">
        <f>IF(B47=0,"","Sunday")</f>
        <v/>
      </c>
      <c r="F47" s="45"/>
      <c r="G47" s="46"/>
      <c r="H47" s="46"/>
      <c r="I47" s="151"/>
      <c r="J47" s="46"/>
      <c r="K47" s="152" t="str">
        <f t="shared" si="42"/>
        <v/>
      </c>
      <c r="L47" s="46"/>
      <c r="M47" s="46" t="str">
        <f t="shared" si="47"/>
        <v/>
      </c>
      <c r="N47" s="302"/>
      <c r="O47" s="171" t="str">
        <f t="shared" si="3"/>
        <v/>
      </c>
      <c r="P47" s="172">
        <f t="shared" si="43"/>
        <v>138281.6904026657</v>
      </c>
      <c r="Q47" s="128">
        <f t="shared" si="4"/>
        <v>138281.6904026657</v>
      </c>
      <c r="R47" s="128">
        <f t="shared" si="48"/>
        <v>0</v>
      </c>
      <c r="S47" s="195" t="str">
        <f t="shared" si="12"/>
        <v/>
      </c>
      <c r="T47" s="128"/>
      <c r="U47" s="128"/>
      <c r="V47" s="129" t="str">
        <f t="shared" si="44"/>
        <v/>
      </c>
      <c r="W47" s="129" t="str">
        <f t="shared" si="45"/>
        <v/>
      </c>
      <c r="X47" s="171">
        <f t="shared" si="49"/>
        <v>0</v>
      </c>
      <c r="Y47" s="171">
        <f t="shared" si="49"/>
        <v>0</v>
      </c>
      <c r="Z47" s="171">
        <f t="shared" si="49"/>
        <v>0</v>
      </c>
      <c r="AA47" s="186">
        <f t="shared" si="8"/>
        <v>0</v>
      </c>
      <c r="AB47" s="173">
        <f t="shared" si="13"/>
        <v>0</v>
      </c>
      <c r="AC47" s="79"/>
      <c r="AD47" s="76"/>
      <c r="AE47" s="76"/>
    </row>
    <row r="48" spans="1:31" ht="17" customHeight="1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71" t="str">
        <f t="shared" si="3"/>
        <v/>
      </c>
      <c r="P48" s="79"/>
      <c r="Q48" s="128">
        <f t="shared" si="4"/>
        <v>0</v>
      </c>
      <c r="R48" s="188"/>
      <c r="S48" s="195" t="str">
        <f t="shared" si="12"/>
        <v/>
      </c>
      <c r="T48" s="188"/>
      <c r="U48" s="188"/>
      <c r="V48" s="188"/>
      <c r="W48" s="188"/>
      <c r="X48" s="171"/>
      <c r="Y48" s="171" t="str">
        <f>IF(A48=0,"",G48+Y36)</f>
        <v/>
      </c>
      <c r="Z48" s="171" t="str">
        <f>IF(B48=0,"",H48+Z36)</f>
        <v/>
      </c>
      <c r="AA48" s="186"/>
      <c r="AB48" s="173">
        <f t="shared" si="13"/>
        <v>0</v>
      </c>
      <c r="AC48" s="79"/>
      <c r="AD48" s="76"/>
      <c r="AE48" s="76"/>
    </row>
    <row r="49" spans="1:32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11.08710556901943</v>
      </c>
      <c r="G49" s="53">
        <f>H49*1.0936113</f>
        <v>19513.306425900002</v>
      </c>
      <c r="H49" s="5">
        <f>INT(SUM($O41:$O47))</f>
        <v>17843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71" t="str">
        <f t="shared" si="3"/>
        <v/>
      </c>
      <c r="P49" s="95"/>
      <c r="Q49" s="128">
        <f t="shared" si="4"/>
        <v>0</v>
      </c>
      <c r="R49" s="189"/>
      <c r="S49" s="195" t="str">
        <f t="shared" si="12"/>
        <v/>
      </c>
      <c r="T49" s="189"/>
      <c r="U49" s="189"/>
      <c r="V49" s="189"/>
      <c r="W49" s="189"/>
      <c r="X49" s="171"/>
      <c r="Y49" s="171" t="str">
        <f>IF(A49=0,"",G49+Y37)</f>
        <v/>
      </c>
      <c r="Z49" s="171" t="str">
        <f>IF(B49=0,"",H49+Z37)</f>
        <v/>
      </c>
      <c r="AA49" s="186"/>
      <c r="AB49" s="173">
        <f t="shared" si="13"/>
        <v>0</v>
      </c>
      <c r="AC49" s="79"/>
      <c r="AD49" s="76"/>
      <c r="AE49" s="76"/>
    </row>
    <row r="50" spans="1:32" ht="17" thickTop="1">
      <c r="A50" s="1"/>
      <c r="B50" s="47">
        <f>IF(B$3&lt;C50,0,C50)</f>
        <v>0</v>
      </c>
      <c r="C50" s="31">
        <f>C47+1</f>
        <v>45600</v>
      </c>
      <c r="D50" s="18">
        <f t="shared" ca="1" si="1"/>
        <v>-309</v>
      </c>
      <c r="E50" s="94" t="str">
        <f>IF(B50=0,"","Monday")</f>
        <v/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71" t="str">
        <f t="shared" si="3"/>
        <v/>
      </c>
      <c r="P50" s="172">
        <f>H$56</f>
        <v>138281.6904026657</v>
      </c>
      <c r="Q50" s="128">
        <f t="shared" si="4"/>
        <v>138281.6904026657</v>
      </c>
      <c r="R50" s="128">
        <f>IF(R$2=3,H50+G50/1.0936133+F50/0.0006213712,IF(R$2=2,H50*1.0936133+G50+F50/0.0005681818,IF(R$2=1,H50*0.0005681818*1.0936133+G50*0.0005681818+F50,"")))</f>
        <v>0</v>
      </c>
      <c r="S50" s="195" t="str">
        <f t="shared" si="12"/>
        <v/>
      </c>
      <c r="T50" s="128"/>
      <c r="U50" s="128"/>
      <c r="V50" s="129" t="str">
        <f>IF(L50="","",IF(R50=0,"",IF(B50=0,"",IF($R$2=3,R50/L50*60/1000,IF($R$2=2,R50/L50*60/1760,IF($R$2=1,R50/L50*60,""))))))</f>
        <v/>
      </c>
      <c r="W50" s="129" t="str">
        <f>IF(R50=0,"",IF(L50="","",V50*L50))</f>
        <v/>
      </c>
      <c r="X50" s="171">
        <f>F50+X47</f>
        <v>0</v>
      </c>
      <c r="Y50" s="171">
        <f>G50+Y47</f>
        <v>0</v>
      </c>
      <c r="Z50" s="171">
        <f>H50+Z47</f>
        <v>0</v>
      </c>
      <c r="AA50" s="186">
        <f t="shared" si="8"/>
        <v>0</v>
      </c>
      <c r="AB50" s="173">
        <f t="shared" si="13"/>
        <v>0</v>
      </c>
      <c r="AC50" s="79"/>
      <c r="AD50" s="76"/>
      <c r="AE50" s="76"/>
    </row>
    <row r="51" spans="1:32" ht="17" thickBot="1">
      <c r="A51" s="1"/>
      <c r="B51" s="4">
        <f>IF(B$3&lt;C51,0,C51)</f>
        <v>0</v>
      </c>
      <c r="C51" s="29">
        <f>C50+1</f>
        <v>45601</v>
      </c>
      <c r="D51" s="6">
        <f t="shared" ca="1" si="1"/>
        <v>-310</v>
      </c>
      <c r="E51" s="90" t="str">
        <f>IF(B51=0,"","Tuesday")</f>
        <v/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71" t="str">
        <f t="shared" si="3"/>
        <v/>
      </c>
      <c r="P51" s="172">
        <f>H$56</f>
        <v>138281.6904026657</v>
      </c>
      <c r="Q51" s="128">
        <f t="shared" si="4"/>
        <v>138281.6904026657</v>
      </c>
      <c r="R51" s="128">
        <f>IF(R$2=3,H51+G51/1.0936133+F51/0.0006213712,IF(R$2=2,H51*1.0936133+G51+F51/0.0005681818,IF(R$2=1,H51*0.0005681818*1.0936133+G51*0.0005681818+F51,"")))</f>
        <v>0</v>
      </c>
      <c r="S51" s="195" t="str">
        <f t="shared" si="12"/>
        <v/>
      </c>
      <c r="T51" s="128"/>
      <c r="U51" s="128"/>
      <c r="V51" s="129" t="str">
        <f>IF(L51="","",IF(R51=0,"",IF(B51=0,"",IF($R$2=3,R51/L51*60/1000,IF($R$2=2,R51/L51*60/1760,IF($R$2=1,R51/L51*60,""))))))</f>
        <v/>
      </c>
      <c r="W51" s="129" t="str">
        <f>IF(R51=0,"",IF(L51="","",V51*L51))</f>
        <v/>
      </c>
      <c r="X51" s="171">
        <f>F51+X50</f>
        <v>0</v>
      </c>
      <c r="Y51" s="171">
        <f>G51+Y50</f>
        <v>0</v>
      </c>
      <c r="Z51" s="171">
        <f>H51+Z50</f>
        <v>0</v>
      </c>
      <c r="AA51" s="186">
        <f t="shared" si="8"/>
        <v>0</v>
      </c>
      <c r="AB51" s="173">
        <f t="shared" si="13"/>
        <v>0</v>
      </c>
      <c r="AC51" s="79"/>
      <c r="AD51" s="76"/>
      <c r="AE51" s="76"/>
    </row>
    <row r="52" spans="1:32" ht="18" thickTop="1" thickBot="1">
      <c r="A52" s="25"/>
      <c r="B52" s="12"/>
      <c r="C52" s="33"/>
      <c r="D52" s="50"/>
      <c r="E52" s="89" t="s">
        <v>65</v>
      </c>
      <c r="F52" s="49">
        <f ca="1">G52*0.000568181818</f>
        <v>-6.2137005661934355E-59</v>
      </c>
      <c r="G52" s="15">
        <f ca="1">H52*1.0936113</f>
        <v>-1.0936113000000001E-55</v>
      </c>
      <c r="H52" s="102">
        <f ca="1">IF(SUM(B50:B51)=0,-1E-55,IF(TODAY()&gt;=B50,(AA51-AA47)*1000,-2E-55))</f>
        <v>-9.9999999999999999E-56</v>
      </c>
      <c r="I52" s="250"/>
      <c r="J52" s="495" t="s">
        <v>93</v>
      </c>
      <c r="K52" s="496"/>
      <c r="L52" s="496"/>
      <c r="M52" s="253"/>
      <c r="N52" s="254" t="str">
        <f>IF(R$2=1,"Distance (miles)",IF(R$2=2,"Distance (yds)",IF(R$2=3,"Distance (km)","????")))</f>
        <v>Distance (km)</v>
      </c>
      <c r="O52" s="171"/>
      <c r="P52" s="95" t="s">
        <v>1</v>
      </c>
      <c r="Q52" s="95" t="s">
        <v>2</v>
      </c>
      <c r="R52" s="95" t="s">
        <v>3</v>
      </c>
      <c r="S52" s="95" t="s">
        <v>4</v>
      </c>
      <c r="T52" s="95" t="s">
        <v>5</v>
      </c>
      <c r="U52" s="95" t="s">
        <v>6</v>
      </c>
      <c r="V52" s="95" t="s">
        <v>7</v>
      </c>
      <c r="W52" s="171"/>
      <c r="X52" s="171"/>
      <c r="Y52" s="171"/>
      <c r="Z52" s="186"/>
      <c r="AA52" s="173"/>
      <c r="AB52" s="79"/>
      <c r="AC52" s="79"/>
      <c r="AD52" s="76"/>
      <c r="AE52" s="76"/>
    </row>
    <row r="53" spans="1:32" ht="17" thickBot="1">
      <c r="A53" s="24"/>
      <c r="B53" s="13"/>
      <c r="C53" s="30"/>
      <c r="D53" s="51"/>
      <c r="E53" s="92" t="s">
        <v>27</v>
      </c>
      <c r="F53" s="52">
        <f>G53*0.0005681818</f>
        <v>-6.2137003693434006E-59</v>
      </c>
      <c r="G53" s="53">
        <f>H53*1.0936113</f>
        <v>-1.0936113000000001E-55</v>
      </c>
      <c r="H53" s="104">
        <f>IF(SUM($O50:$O51)=0,-1E-55,SUM($O50:$O51))</f>
        <v>-9.9999999999999999E-56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190" t="s">
        <v>48</v>
      </c>
      <c r="P53" s="95">
        <f t="shared" ref="P53:V53" si="50">COUNTIFS($E$5:$E$51,P52)</f>
        <v>4</v>
      </c>
      <c r="Q53" s="95">
        <f t="shared" si="50"/>
        <v>5</v>
      </c>
      <c r="R53" s="95">
        <f t="shared" si="50"/>
        <v>5</v>
      </c>
      <c r="S53" s="95">
        <f t="shared" si="50"/>
        <v>5</v>
      </c>
      <c r="T53" s="95">
        <f t="shared" si="50"/>
        <v>4</v>
      </c>
      <c r="U53" s="95">
        <f t="shared" si="50"/>
        <v>4</v>
      </c>
      <c r="V53" s="95">
        <f t="shared" si="50"/>
        <v>4</v>
      </c>
      <c r="W53" s="171"/>
      <c r="X53" s="171"/>
      <c r="Y53" s="171"/>
      <c r="Z53" s="186"/>
      <c r="AA53" s="173"/>
      <c r="AB53" s="79"/>
      <c r="AC53" s="79"/>
      <c r="AD53" s="76"/>
      <c r="AE53" s="76"/>
    </row>
    <row r="54" spans="1:32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1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190" t="s">
        <v>47</v>
      </c>
      <c r="P54" s="95">
        <f t="shared" ref="P54:V54" ca="1" si="52">COUNTIFS($D$5:$D$51,"&gt;-1",$E$5:$E$51,P52)</f>
        <v>0</v>
      </c>
      <c r="Q54" s="95">
        <f t="shared" ca="1" si="52"/>
        <v>0</v>
      </c>
      <c r="R54" s="95">
        <f t="shared" ca="1" si="52"/>
        <v>0</v>
      </c>
      <c r="S54" s="95">
        <f t="shared" ca="1" si="52"/>
        <v>0</v>
      </c>
      <c r="T54" s="95">
        <f t="shared" ca="1" si="52"/>
        <v>0</v>
      </c>
      <c r="U54" s="95">
        <f t="shared" ca="1" si="52"/>
        <v>0</v>
      </c>
      <c r="V54" s="95">
        <f t="shared" ca="1" si="52"/>
        <v>0</v>
      </c>
      <c r="W54" s="171"/>
      <c r="X54" s="171"/>
      <c r="Y54" s="171"/>
      <c r="Z54" s="186"/>
      <c r="AA54" s="173"/>
      <c r="AB54" s="79"/>
      <c r="AC54" s="79"/>
      <c r="AD54" s="76"/>
      <c r="AE54" s="76"/>
    </row>
    <row r="55" spans="1:32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1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190" t="s">
        <v>66</v>
      </c>
      <c r="P55" s="95">
        <f t="shared" ref="P55:V55" si="53">COUNTIFS($E$5:$E$51,P52,$R$5:$R$51,"&gt;0")</f>
        <v>0</v>
      </c>
      <c r="Q55" s="95">
        <f t="shared" si="53"/>
        <v>0</v>
      </c>
      <c r="R55" s="95">
        <f t="shared" si="53"/>
        <v>0</v>
      </c>
      <c r="S55" s="95">
        <f t="shared" si="53"/>
        <v>0</v>
      </c>
      <c r="T55" s="95">
        <f t="shared" si="53"/>
        <v>0</v>
      </c>
      <c r="U55" s="95">
        <f t="shared" si="53"/>
        <v>0</v>
      </c>
      <c r="V55" s="95">
        <f t="shared" si="53"/>
        <v>0</v>
      </c>
      <c r="W55" s="171"/>
      <c r="X55" s="171"/>
      <c r="Y55" s="171"/>
      <c r="Z55" s="186"/>
      <c r="AA55" s="173"/>
      <c r="AB55" s="79"/>
      <c r="AC55" s="79"/>
      <c r="AD55" s="76"/>
      <c r="AE55" s="76"/>
    </row>
    <row r="56" spans="1:32" ht="17" thickBot="1">
      <c r="A56" s="27"/>
      <c r="B56" s="35"/>
      <c r="C56" s="35"/>
      <c r="D56" s="35"/>
      <c r="E56" s="17" t="s">
        <v>41</v>
      </c>
      <c r="F56" s="37">
        <f>G56*0.000568181818</f>
        <v>85.924101794922905</v>
      </c>
      <c r="G56" s="38">
        <f>H56*1.0936113</f>
        <v>151226.41920745675</v>
      </c>
      <c r="H56" s="106">
        <f>SUM(H$53,H40,H31,H22,H49,H13)-1</f>
        <v>138281.6904026657</v>
      </c>
      <c r="I56" s="252"/>
      <c r="J56" s="257" t="str">
        <f>'MY STATS'!AI47</f>
        <v/>
      </c>
      <c r="K56" s="126" t="str">
        <f t="shared" si="51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190" t="s">
        <v>106</v>
      </c>
      <c r="P56" s="95"/>
      <c r="Q56" s="95"/>
      <c r="R56" s="95"/>
      <c r="S56" s="95"/>
      <c r="T56" s="95"/>
      <c r="U56" s="95"/>
      <c r="V56" s="95"/>
      <c r="W56" s="171"/>
      <c r="X56" s="171"/>
      <c r="Y56" s="171"/>
      <c r="Z56" s="186"/>
      <c r="AA56" s="173"/>
      <c r="AB56" s="79"/>
      <c r="AC56" s="79"/>
      <c r="AD56" s="76"/>
      <c r="AE56" s="76"/>
      <c r="AF56" s="11"/>
    </row>
    <row r="57" spans="1:32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190" t="s">
        <v>97</v>
      </c>
      <c r="P57" s="172">
        <f t="shared" ref="P57:V57" si="54">SUMIF($E$5:$E$51,P52,$S$5:$S$51)</f>
        <v>0</v>
      </c>
      <c r="Q57" s="172">
        <f t="shared" si="54"/>
        <v>0</v>
      </c>
      <c r="R57" s="172">
        <f t="shared" si="54"/>
        <v>0</v>
      </c>
      <c r="S57" s="172">
        <f t="shared" si="54"/>
        <v>0</v>
      </c>
      <c r="T57" s="172">
        <f t="shared" si="54"/>
        <v>0</v>
      </c>
      <c r="U57" s="172">
        <f t="shared" si="54"/>
        <v>0</v>
      </c>
      <c r="V57" s="172">
        <f t="shared" si="54"/>
        <v>0</v>
      </c>
      <c r="W57" s="79"/>
      <c r="X57" s="79"/>
      <c r="Y57" s="79"/>
      <c r="Z57" s="95"/>
      <c r="AA57" s="79"/>
      <c r="AB57" s="79"/>
      <c r="AC57" s="79"/>
      <c r="AD57" s="76"/>
      <c r="AE57" s="76"/>
    </row>
    <row r="58" spans="1:32" ht="18" thickTop="1" thickBot="1">
      <c r="A58" s="63">
        <f>A1</f>
        <v>10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190" t="s">
        <v>98</v>
      </c>
      <c r="P58" s="191">
        <f>IF(COUNTIFS($E$5:$E$51,P52,$L$5:$L$51,"&gt;0")=0,0,(SUMIF($E$5:$E$51,P52,$L$5:$L$51)+IF(SUMIF($E$5:$E$51,P52,$R$5:$R$51)=0,-SUMIF($E$5:$E$51,P52,$L$5:$L$51)))/60)</f>
        <v>0</v>
      </c>
      <c r="Q58" s="191">
        <f t="shared" ref="Q58:V58" si="55">IF(COUNTIFS($E$5:$E$51,Q52,$L$5:$L$51,"&gt;0")=0,0,(SUMIF($E$5:$E$51,Q52,$L$5:$L$51)+IF(SUMIF($E$5:$E$51,Q52,$R$5:$R$51)=0,-SUMIF($E$5:$E$51,Q52,$L$5:$L$51)))/60)</f>
        <v>0</v>
      </c>
      <c r="R58" s="191">
        <f t="shared" si="55"/>
        <v>0</v>
      </c>
      <c r="S58" s="191">
        <f t="shared" si="55"/>
        <v>0</v>
      </c>
      <c r="T58" s="191">
        <f t="shared" si="55"/>
        <v>0</v>
      </c>
      <c r="U58" s="191">
        <f t="shared" si="55"/>
        <v>0</v>
      </c>
      <c r="V58" s="191">
        <f t="shared" si="55"/>
        <v>0</v>
      </c>
      <c r="W58" s="79"/>
      <c r="X58" s="79"/>
      <c r="Y58" s="79"/>
      <c r="Z58" s="95"/>
      <c r="AA58" s="79"/>
      <c r="AB58" s="79"/>
      <c r="AC58" s="79"/>
      <c r="AD58" s="76"/>
      <c r="AE58" s="76"/>
    </row>
    <row r="59" spans="1:32" ht="18" thickTop="1" thickBot="1">
      <c r="A59" s="66">
        <f>A1</f>
        <v>10</v>
      </c>
      <c r="B59" s="67"/>
      <c r="C59" s="68"/>
      <c r="D59" s="59"/>
      <c r="E59" s="60" t="s">
        <v>52</v>
      </c>
      <c r="F59" s="61">
        <f>G59*0.000568181818</f>
        <v>212.49961138000063</v>
      </c>
      <c r="G59" s="62">
        <f>H59*1.0936113</f>
        <v>373999.31614848087</v>
      </c>
      <c r="H59" s="107">
        <f>VLOOKUP($A$1,'MY STATS'!B$32:K$43,10)</f>
        <v>341985.59958961728</v>
      </c>
      <c r="I59" s="251"/>
      <c r="J59" s="261" t="s">
        <v>57</v>
      </c>
      <c r="K59" s="262" t="str">
        <f t="shared" si="51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190" t="s">
        <v>88</v>
      </c>
      <c r="P59" s="167">
        <f>IFERROR(IF('MY STATS'!$A16=1,P57/P58,IF('MY STATS'!$A16=2,P57/1760/P58,IF('MY STATS'!$A16=3,P57/1000/P58,0))),0)</f>
        <v>0</v>
      </c>
      <c r="Q59" s="167">
        <f>IFERROR(IF('MY STATS'!$A16=1,Q57/Q58,IF('MY STATS'!$A16=2,Q57/1760/Q58,IF('MY STATS'!$A16=3,Q57/1000/Q58,0))),0)</f>
        <v>0</v>
      </c>
      <c r="R59" s="167">
        <f>IFERROR(IF('MY STATS'!$A16=1,R57/R58,IF('MY STATS'!$A16=2,R57/1760/R58,IF('MY STATS'!$A16=3,R57/1000/R58,0))),0)</f>
        <v>0</v>
      </c>
      <c r="S59" s="167">
        <f>IFERROR(IF('MY STATS'!$A16=1,S57/S58,IF('MY STATS'!$A16=2,S57/1760/S58,IF('MY STATS'!$A16=3,S57/1000/S58,0))),0)</f>
        <v>0</v>
      </c>
      <c r="T59" s="167">
        <f>IFERROR(IF('MY STATS'!$A16=1,T57/T58,IF('MY STATS'!$A16=2,T57/1760/T58,IF('MY STATS'!$A16=3,T57/1000/T58,0))),0)</f>
        <v>0</v>
      </c>
      <c r="U59" s="167">
        <f>IFERROR(IF('MY STATS'!$A16=1,U57/U58,IF('MY STATS'!$A16=2,U57/1760/U58,IF('MY STATS'!$A16=3,U57/1000/U58,0))),0)</f>
        <v>0</v>
      </c>
      <c r="V59" s="167">
        <f>IFERROR(IF('MY STATS'!$A16=1,V57/V58,IF('MY STATS'!$A16=2,V57/1760/V58,IF('MY STATS'!$A16=3,V57/1000/V58,0))),0)</f>
        <v>0</v>
      </c>
      <c r="W59" s="79"/>
      <c r="X59" s="79"/>
      <c r="Y59" s="79"/>
      <c r="Z59" s="95"/>
      <c r="AA59" s="79"/>
      <c r="AB59" s="79"/>
      <c r="AC59" s="79"/>
      <c r="AD59" s="76"/>
      <c r="AE59" s="76"/>
    </row>
    <row r="60" spans="1:32" ht="17" thickTop="1"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</row>
    <row r="61" spans="1:32"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</row>
    <row r="62" spans="1:32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</row>
    <row r="63" spans="1:32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</row>
    <row r="64" spans="1:32"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</row>
    <row r="65" spans="15:31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</row>
    <row r="66" spans="15:31" customFormat="1"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</row>
    <row r="67" spans="15:31"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</row>
    <row r="68" spans="15:31">
      <c r="AA68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3878" priority="3161" stopIfTrue="1" operator="notBetween">
      <formula>$B$2</formula>
      <formula>$B$3</formula>
    </cfRule>
  </conditionalFormatting>
  <conditionalFormatting sqref="B14:B20 B23:B29 B49:B51 B40:B47 B53 B31:B38 D3 B5:B11">
    <cfRule type="cellIs" dxfId="3877" priority="3162" operator="greaterThan">
      <formula>$E$3</formula>
    </cfRule>
    <cfRule type="cellIs" dxfId="3876" priority="3163" operator="equal">
      <formula>$E$3</formula>
    </cfRule>
    <cfRule type="cellIs" dxfId="3875" priority="3164" operator="lessThan">
      <formula>$E$3</formula>
    </cfRule>
  </conditionalFormatting>
  <conditionalFormatting sqref="F58:H58 F55:H55">
    <cfRule type="expression" dxfId="3874" priority="3159">
      <formula>$F55&gt;=$F56</formula>
    </cfRule>
  </conditionalFormatting>
  <conditionalFormatting sqref="F5:H10 F14:G20 F23:G29 F38:H38 F41:H47 F11:G11 F32:G37">
    <cfRule type="cellIs" dxfId="3873" priority="3149" stopIfTrue="1" operator="lessThan">
      <formula>0</formula>
    </cfRule>
  </conditionalFormatting>
  <conditionalFormatting sqref="C32:C38 C41:C47 C50:C51 C14:C20 C23:C29 C5:C11">
    <cfRule type="cellIs" dxfId="3872" priority="3154" stopIfTrue="1" operator="notBetween">
      <formula>$B$2</formula>
      <formula>$B$3</formula>
    </cfRule>
  </conditionalFormatting>
  <conditionalFormatting sqref="C41:C47 C50:C51 C32:C38 C14:C20 C23:C29 C5:C11">
    <cfRule type="cellIs" dxfId="3871" priority="3155" operator="greaterThan">
      <formula>$E$3</formula>
    </cfRule>
    <cfRule type="cellIs" dxfId="3870" priority="3156" operator="equal">
      <formula>$E$3</formula>
    </cfRule>
    <cfRule type="cellIs" dxfId="3869" priority="3157" operator="lessThan">
      <formula>$E$3</formula>
    </cfRule>
  </conditionalFormatting>
  <conditionalFormatting sqref="F14:G20 F23:G29 F38:H38 F41:H47 F32:G37">
    <cfRule type="expression" dxfId="3868" priority="3153">
      <formula>$C14&lt;$E$3</formula>
    </cfRule>
  </conditionalFormatting>
  <conditionalFormatting sqref="F5:H10 F14:G20 F23:G29 F38:H38 F41:H47 F11:G11 F32:G37">
    <cfRule type="expression" dxfId="3867" priority="3150">
      <formula>$C5=$E$3</formula>
    </cfRule>
    <cfRule type="expression" dxfId="3866" priority="3151">
      <formula>$C5&lt;$E$3</formula>
    </cfRule>
    <cfRule type="cellIs" dxfId="3865" priority="3152" operator="equal">
      <formula>0</formula>
    </cfRule>
    <cfRule type="expression" dxfId="3864" priority="3158">
      <formula>$C5&gt;$E$3</formula>
    </cfRule>
  </conditionalFormatting>
  <conditionalFormatting sqref="F12:G12">
    <cfRule type="expression" dxfId="3863" priority="3148">
      <formula>$F12&gt;=$F13</formula>
    </cfRule>
  </conditionalFormatting>
  <conditionalFormatting sqref="F21:G21">
    <cfRule type="expression" dxfId="3862" priority="3147">
      <formula>$F21&gt;=$F22</formula>
    </cfRule>
  </conditionalFormatting>
  <conditionalFormatting sqref="F39:H39">
    <cfRule type="expression" dxfId="3861" priority="3146">
      <formula>$F39&gt;=$F40</formula>
    </cfRule>
  </conditionalFormatting>
  <conditionalFormatting sqref="F30:G30">
    <cfRule type="expression" dxfId="3860" priority="3145">
      <formula>$F30&gt;=$F31</formula>
    </cfRule>
  </conditionalFormatting>
  <conditionalFormatting sqref="F48:H48">
    <cfRule type="expression" dxfId="3859" priority="3143" stopIfTrue="1">
      <formula>$H$48=-1E-55</formula>
    </cfRule>
    <cfRule type="expression" dxfId="3858" priority="3144">
      <formula>$F48&gt;=$F49</formula>
    </cfRule>
  </conditionalFormatting>
  <conditionalFormatting sqref="F14:G20 F23:G29 F38:H38 F41:H47 F32:G37">
    <cfRule type="expression" dxfId="3857" priority="3142">
      <formula>$C14&lt;$E$3</formula>
    </cfRule>
  </conditionalFormatting>
  <conditionalFormatting sqref="F14:G20 F5:H10 F23:G29 F38:H38 F41:H47 F11:G11 F32:G37">
    <cfRule type="expression" dxfId="3856" priority="3138">
      <formula>$C5=$E$3</formula>
    </cfRule>
    <cfRule type="expression" dxfId="3855" priority="3139">
      <formula>$C5&lt;$E$3</formula>
    </cfRule>
    <cfRule type="cellIs" dxfId="3854" priority="3140" operator="equal">
      <formula>0</formula>
    </cfRule>
    <cfRule type="expression" dxfId="3853" priority="3141">
      <formula>$C5&gt;$E$3</formula>
    </cfRule>
  </conditionalFormatting>
  <conditionalFormatting sqref="F12:G12">
    <cfRule type="expression" dxfId="3852" priority="3137">
      <formula>$F12&gt;=$F13</formula>
    </cfRule>
  </conditionalFormatting>
  <conditionalFormatting sqref="F21:G21">
    <cfRule type="expression" dxfId="3851" priority="3136">
      <formula>$F21&gt;=$F22</formula>
    </cfRule>
  </conditionalFormatting>
  <conditionalFormatting sqref="F39:H39">
    <cfRule type="expression" dxfId="3850" priority="3135">
      <formula>$F39&gt;=$F40</formula>
    </cfRule>
  </conditionalFormatting>
  <conditionalFormatting sqref="F30:G30">
    <cfRule type="expression" dxfId="3849" priority="3134">
      <formula>$F30&gt;=$F31</formula>
    </cfRule>
  </conditionalFormatting>
  <conditionalFormatting sqref="F48:H48">
    <cfRule type="expression" dxfId="3848" priority="3132" stopIfTrue="1">
      <formula>$E$41=""</formula>
    </cfRule>
    <cfRule type="expression" dxfId="3847" priority="3133">
      <formula>$F48&gt;=$F49</formula>
    </cfRule>
  </conditionalFormatting>
  <conditionalFormatting sqref="F41:H47">
    <cfRule type="expression" dxfId="3846" priority="3131">
      <formula>$E41=""</formula>
    </cfRule>
  </conditionalFormatting>
  <conditionalFormatting sqref="F47:H47">
    <cfRule type="expression" dxfId="3845" priority="3130">
      <formula>$E$46=""</formula>
    </cfRule>
  </conditionalFormatting>
  <conditionalFormatting sqref="F45:H45">
    <cfRule type="expression" dxfId="3844" priority="3129">
      <formula>$E45=""</formula>
    </cfRule>
  </conditionalFormatting>
  <conditionalFormatting sqref="F5:H10 F11:G11">
    <cfRule type="expression" dxfId="3843" priority="3128">
      <formula>$C5&lt;$E$3</formula>
    </cfRule>
  </conditionalFormatting>
  <conditionalFormatting sqref="F5:H10 F11:G11">
    <cfRule type="expression" dxfId="3842" priority="3127">
      <formula>$E5=""</formula>
    </cfRule>
  </conditionalFormatting>
  <conditionalFormatting sqref="F5:H10 F11:G11">
    <cfRule type="expression" dxfId="3841" priority="3123">
      <formula>$C5=$E$3</formula>
    </cfRule>
    <cfRule type="expression" dxfId="3840" priority="3124">
      <formula>$C5&lt;$E$3</formula>
    </cfRule>
    <cfRule type="cellIs" dxfId="3839" priority="3125" operator="equal">
      <formula>0</formula>
    </cfRule>
    <cfRule type="expression" dxfId="3838" priority="3126">
      <formula>$C5&gt;$E$3</formula>
    </cfRule>
  </conditionalFormatting>
  <conditionalFormatting sqref="F5:H10 F11:G11">
    <cfRule type="expression" dxfId="3837" priority="3122">
      <formula>$C5&lt;$E$3</formula>
    </cfRule>
  </conditionalFormatting>
  <conditionalFormatting sqref="F5:H10 F11:G11">
    <cfRule type="expression" dxfId="3836" priority="3121">
      <formula>$E5=""</formula>
    </cfRule>
  </conditionalFormatting>
  <conditionalFormatting sqref="F14:G20">
    <cfRule type="expression" dxfId="3835" priority="3120">
      <formula>$C14&lt;$E$3</formula>
    </cfRule>
  </conditionalFormatting>
  <conditionalFormatting sqref="F14:G20">
    <cfRule type="expression" dxfId="3834" priority="3116">
      <formula>$C14=$E$3</formula>
    </cfRule>
    <cfRule type="expression" dxfId="3833" priority="3117">
      <formula>$C14&lt;$E$3</formula>
    </cfRule>
    <cfRule type="cellIs" dxfId="3832" priority="3118" operator="equal">
      <formula>0</formula>
    </cfRule>
    <cfRule type="expression" dxfId="3831" priority="3119">
      <formula>$C14&gt;$E$3</formula>
    </cfRule>
  </conditionalFormatting>
  <conditionalFormatting sqref="F5:H10 F11:G11">
    <cfRule type="expression" dxfId="3830" priority="3115">
      <formula>$C5&lt;$E$3</formula>
    </cfRule>
  </conditionalFormatting>
  <conditionalFormatting sqref="F5:H10 F11:G11">
    <cfRule type="expression" dxfId="3829" priority="3111">
      <formula>$C5=$E$3</formula>
    </cfRule>
    <cfRule type="expression" dxfId="3828" priority="3112">
      <formula>$C5&lt;$E$3</formula>
    </cfRule>
    <cfRule type="cellIs" dxfId="3827" priority="3113" operator="equal">
      <formula>0</formula>
    </cfRule>
    <cfRule type="expression" dxfId="3826" priority="3114">
      <formula>$C5&gt;$E$3</formula>
    </cfRule>
  </conditionalFormatting>
  <conditionalFormatting sqref="F5:H10 F11:G11">
    <cfRule type="expression" dxfId="3825" priority="3110">
      <formula>$E5=""</formula>
    </cfRule>
  </conditionalFormatting>
  <conditionalFormatting sqref="F5:H10 F11:G11">
    <cfRule type="expression" dxfId="3824" priority="3109">
      <formula>$C5&lt;$E$3</formula>
    </cfRule>
  </conditionalFormatting>
  <conditionalFormatting sqref="F5:H10 F11:G11">
    <cfRule type="expression" dxfId="3823" priority="3108">
      <formula>$E5=""</formula>
    </cfRule>
  </conditionalFormatting>
  <conditionalFormatting sqref="F5:H10 F11:G11">
    <cfRule type="expression" dxfId="3822" priority="3107">
      <formula>$E5=""</formula>
    </cfRule>
  </conditionalFormatting>
  <conditionalFormatting sqref="F5:H10 F11:G11">
    <cfRule type="expression" dxfId="3821" priority="3106">
      <formula>$C5&lt;$E$3</formula>
    </cfRule>
  </conditionalFormatting>
  <conditionalFormatting sqref="F5:H10 F11:G11">
    <cfRule type="expression" dxfId="3820" priority="3105">
      <formula>$E5=""</formula>
    </cfRule>
  </conditionalFormatting>
  <conditionalFormatting sqref="F5:H10 F11:G11">
    <cfRule type="expression" dxfId="3819" priority="3104">
      <formula>$C5&lt;$E$3</formula>
    </cfRule>
  </conditionalFormatting>
  <conditionalFormatting sqref="F5:H10 F11:G11">
    <cfRule type="expression" dxfId="3818" priority="3103">
      <formula>$E5=""</formula>
    </cfRule>
  </conditionalFormatting>
  <conditionalFormatting sqref="F5:H10 F11:G11">
    <cfRule type="expression" dxfId="3817" priority="3102">
      <formula>$C5&lt;$E$3</formula>
    </cfRule>
  </conditionalFormatting>
  <conditionalFormatting sqref="F5:H10 F11:G11">
    <cfRule type="expression" dxfId="3816" priority="3101">
      <formula>$E5=""</formula>
    </cfRule>
  </conditionalFormatting>
  <conditionalFormatting sqref="F14:G20">
    <cfRule type="expression" dxfId="3815" priority="3100">
      <formula>$C14&lt;$E$3</formula>
    </cfRule>
  </conditionalFormatting>
  <conditionalFormatting sqref="F14:G20">
    <cfRule type="expression" dxfId="3814" priority="3096">
      <formula>$C14=$E$3</formula>
    </cfRule>
    <cfRule type="expression" dxfId="3813" priority="3097">
      <formula>$C14&lt;$E$3</formula>
    </cfRule>
    <cfRule type="cellIs" dxfId="3812" priority="3098" operator="equal">
      <formula>0</formula>
    </cfRule>
    <cfRule type="expression" dxfId="3811" priority="3099">
      <formula>$C14&gt;$E$3</formula>
    </cfRule>
  </conditionalFormatting>
  <conditionalFormatting sqref="F14:G20">
    <cfRule type="expression" dxfId="3810" priority="3095">
      <formula>$E14=""</formula>
    </cfRule>
  </conditionalFormatting>
  <conditionalFormatting sqref="F14:G20">
    <cfRule type="expression" dxfId="3809" priority="3094">
      <formula>$C14&lt;$E$3</formula>
    </cfRule>
  </conditionalFormatting>
  <conditionalFormatting sqref="F14:G20">
    <cfRule type="expression" dxfId="3808" priority="3093">
      <formula>$E14=""</formula>
    </cfRule>
  </conditionalFormatting>
  <conditionalFormatting sqref="F14:G20">
    <cfRule type="expression" dxfId="3807" priority="3092">
      <formula>$E14=""</formula>
    </cfRule>
  </conditionalFormatting>
  <conditionalFormatting sqref="F14:G20">
    <cfRule type="expression" dxfId="3806" priority="3091">
      <formula>$C14&lt;$E$3</formula>
    </cfRule>
  </conditionalFormatting>
  <conditionalFormatting sqref="F14:G20">
    <cfRule type="expression" dxfId="3805" priority="3090">
      <formula>$E14=""</formula>
    </cfRule>
  </conditionalFormatting>
  <conditionalFormatting sqref="F14:G20">
    <cfRule type="expression" dxfId="3804" priority="3089">
      <formula>$C14&lt;$E$3</formula>
    </cfRule>
  </conditionalFormatting>
  <conditionalFormatting sqref="F14:G20">
    <cfRule type="expression" dxfId="3803" priority="3088">
      <formula>$E14=""</formula>
    </cfRule>
  </conditionalFormatting>
  <conditionalFormatting sqref="F14:G20">
    <cfRule type="expression" dxfId="3802" priority="3087">
      <formula>$C14&lt;$E$3</formula>
    </cfRule>
  </conditionalFormatting>
  <conditionalFormatting sqref="F14:G20">
    <cfRule type="expression" dxfId="3801" priority="3086">
      <formula>$E14=""</formula>
    </cfRule>
  </conditionalFormatting>
  <conditionalFormatting sqref="F23:G29">
    <cfRule type="expression" dxfId="3800" priority="3085">
      <formula>$C23&lt;$E$3</formula>
    </cfRule>
  </conditionalFormatting>
  <conditionalFormatting sqref="F23:G29">
    <cfRule type="expression" dxfId="3799" priority="3081">
      <formula>$C23=$E$3</formula>
    </cfRule>
    <cfRule type="expression" dxfId="3798" priority="3082">
      <formula>$C23&lt;$E$3</formula>
    </cfRule>
    <cfRule type="cellIs" dxfId="3797" priority="3083" operator="equal">
      <formula>0</formula>
    </cfRule>
    <cfRule type="expression" dxfId="3796" priority="3084">
      <formula>$C23&gt;$E$3</formula>
    </cfRule>
  </conditionalFormatting>
  <conditionalFormatting sqref="F23:G29">
    <cfRule type="expression" dxfId="3795" priority="3080">
      <formula>$C23&lt;$E$3</formula>
    </cfRule>
  </conditionalFormatting>
  <conditionalFormatting sqref="F23:G29">
    <cfRule type="expression" dxfId="3794" priority="3076">
      <formula>$C23=$E$3</formula>
    </cfRule>
    <cfRule type="expression" dxfId="3793" priority="3077">
      <formula>$C23&lt;$E$3</formula>
    </cfRule>
    <cfRule type="cellIs" dxfId="3792" priority="3078" operator="equal">
      <formula>0</formula>
    </cfRule>
    <cfRule type="expression" dxfId="3791" priority="3079">
      <formula>$C23&gt;$E$3</formula>
    </cfRule>
  </conditionalFormatting>
  <conditionalFormatting sqref="F23:G29">
    <cfRule type="expression" dxfId="3790" priority="3075">
      <formula>$E23=""</formula>
    </cfRule>
  </conditionalFormatting>
  <conditionalFormatting sqref="F23:G29">
    <cfRule type="expression" dxfId="3789" priority="3074">
      <formula>$C23&lt;$E$3</formula>
    </cfRule>
  </conditionalFormatting>
  <conditionalFormatting sqref="F23:G29">
    <cfRule type="expression" dxfId="3788" priority="3073">
      <formula>$E23=""</formula>
    </cfRule>
  </conditionalFormatting>
  <conditionalFormatting sqref="F23:G29">
    <cfRule type="expression" dxfId="3787" priority="3072">
      <formula>$E23=""</formula>
    </cfRule>
  </conditionalFormatting>
  <conditionalFormatting sqref="F23:G29">
    <cfRule type="expression" dxfId="3786" priority="3071">
      <formula>$C23&lt;$E$3</formula>
    </cfRule>
  </conditionalFormatting>
  <conditionalFormatting sqref="F23:G29">
    <cfRule type="expression" dxfId="3785" priority="3070">
      <formula>$E23=""</formula>
    </cfRule>
  </conditionalFormatting>
  <conditionalFormatting sqref="F23:G29">
    <cfRule type="expression" dxfId="3784" priority="3069">
      <formula>$C23&lt;$E$3</formula>
    </cfRule>
  </conditionalFormatting>
  <conditionalFormatting sqref="F23:G29">
    <cfRule type="expression" dxfId="3783" priority="3068">
      <formula>$E23=""</formula>
    </cfRule>
  </conditionalFormatting>
  <conditionalFormatting sqref="F23:G29">
    <cfRule type="expression" dxfId="3782" priority="3067">
      <formula>$C23&lt;$E$3</formula>
    </cfRule>
  </conditionalFormatting>
  <conditionalFormatting sqref="F23:G29">
    <cfRule type="expression" dxfId="3781" priority="3066">
      <formula>$E23=""</formula>
    </cfRule>
  </conditionalFormatting>
  <conditionalFormatting sqref="F38:H38 F32:G37">
    <cfRule type="expression" dxfId="3780" priority="3065">
      <formula>$C32&lt;$E$3</formula>
    </cfRule>
  </conditionalFormatting>
  <conditionalFormatting sqref="F38:H38 F32:G37">
    <cfRule type="expression" dxfId="3779" priority="3061">
      <formula>$C32=$E$3</formula>
    </cfRule>
    <cfRule type="expression" dxfId="3778" priority="3062">
      <formula>$C32&lt;$E$3</formula>
    </cfRule>
    <cfRule type="cellIs" dxfId="3777" priority="3063" operator="equal">
      <formula>0</formula>
    </cfRule>
    <cfRule type="expression" dxfId="3776" priority="3064">
      <formula>$C32&gt;$E$3</formula>
    </cfRule>
  </conditionalFormatting>
  <conditionalFormatting sqref="F38:H38 F32:G37">
    <cfRule type="expression" dxfId="3775" priority="3060">
      <formula>$C32&lt;$E$3</formula>
    </cfRule>
  </conditionalFormatting>
  <conditionalFormatting sqref="F38:H38 F32:G37">
    <cfRule type="expression" dxfId="3774" priority="3056">
      <formula>$C32=$E$3</formula>
    </cfRule>
    <cfRule type="expression" dxfId="3773" priority="3057">
      <formula>$C32&lt;$E$3</formula>
    </cfRule>
    <cfRule type="cellIs" dxfId="3772" priority="3058" operator="equal">
      <formula>0</formula>
    </cfRule>
    <cfRule type="expression" dxfId="3771" priority="3059">
      <formula>$C32&gt;$E$3</formula>
    </cfRule>
  </conditionalFormatting>
  <conditionalFormatting sqref="F38:H38 F32:G37">
    <cfRule type="expression" dxfId="3770" priority="3055">
      <formula>$E32=""</formula>
    </cfRule>
  </conditionalFormatting>
  <conditionalFormatting sqref="F38:H38 F32:G37">
    <cfRule type="expression" dxfId="3769" priority="3054">
      <formula>$C32&lt;$E$3</formula>
    </cfRule>
  </conditionalFormatting>
  <conditionalFormatting sqref="F38:H38 F32:G37">
    <cfRule type="expression" dxfId="3768" priority="3053">
      <formula>$E32=""</formula>
    </cfRule>
  </conditionalFormatting>
  <conditionalFormatting sqref="F38:H38 F32:G37">
    <cfRule type="expression" dxfId="3767" priority="3052">
      <formula>$E32=""</formula>
    </cfRule>
  </conditionalFormatting>
  <conditionalFormatting sqref="F38:H38 F32:G37">
    <cfRule type="expression" dxfId="3766" priority="3051">
      <formula>$C32&lt;$E$3</formula>
    </cfRule>
  </conditionalFormatting>
  <conditionalFormatting sqref="F38:H38 F32:G37">
    <cfRule type="expression" dxfId="3765" priority="3050">
      <formula>$E32=""</formula>
    </cfRule>
  </conditionalFormatting>
  <conditionalFormatting sqref="F38:H38 F32:G37">
    <cfRule type="expression" dxfId="3764" priority="3049">
      <formula>$C32&lt;$E$3</formula>
    </cfRule>
  </conditionalFormatting>
  <conditionalFormatting sqref="F38:H38 F32:G37">
    <cfRule type="expression" dxfId="3763" priority="3048">
      <formula>$E32=""</formula>
    </cfRule>
  </conditionalFormatting>
  <conditionalFormatting sqref="F38:H38 F32:G37">
    <cfRule type="expression" dxfId="3762" priority="3047">
      <formula>$C32&lt;$E$3</formula>
    </cfRule>
  </conditionalFormatting>
  <conditionalFormatting sqref="F38:H38 F32:G37">
    <cfRule type="expression" dxfId="3761" priority="3046">
      <formula>$E32=""</formula>
    </cfRule>
  </conditionalFormatting>
  <conditionalFormatting sqref="F41:H47">
    <cfRule type="expression" dxfId="3760" priority="3045">
      <formula>$C41&lt;$E$3</formula>
    </cfRule>
  </conditionalFormatting>
  <conditionalFormatting sqref="F41:H47">
    <cfRule type="expression" dxfId="3759" priority="3041">
      <formula>$C41=$E$3</formula>
    </cfRule>
    <cfRule type="expression" dxfId="3758" priority="3042">
      <formula>$C41&lt;$E$3</formula>
    </cfRule>
    <cfRule type="cellIs" dxfId="3757" priority="3043" operator="equal">
      <formula>0</formula>
    </cfRule>
    <cfRule type="expression" dxfId="3756" priority="3044">
      <formula>$C41&gt;$E$3</formula>
    </cfRule>
  </conditionalFormatting>
  <conditionalFormatting sqref="F41:H47">
    <cfRule type="expression" dxfId="3755" priority="3040">
      <formula>$C41&lt;$E$3</formula>
    </cfRule>
  </conditionalFormatting>
  <conditionalFormatting sqref="F41:H47">
    <cfRule type="expression" dxfId="3754" priority="3036">
      <formula>$C41=$E$3</formula>
    </cfRule>
    <cfRule type="expression" dxfId="3753" priority="3037">
      <formula>$C41&lt;$E$3</formula>
    </cfRule>
    <cfRule type="cellIs" dxfId="3752" priority="3038" operator="equal">
      <formula>0</formula>
    </cfRule>
    <cfRule type="expression" dxfId="3751" priority="3039">
      <formula>$C41&gt;$E$3</formula>
    </cfRule>
  </conditionalFormatting>
  <conditionalFormatting sqref="F41:H47">
    <cfRule type="expression" dxfId="3750" priority="3035">
      <formula>$E41=""</formula>
    </cfRule>
  </conditionalFormatting>
  <conditionalFormatting sqref="F41:H47">
    <cfRule type="expression" dxfId="3749" priority="3034">
      <formula>$C41&lt;$E$3</formula>
    </cfRule>
  </conditionalFormatting>
  <conditionalFormatting sqref="F41:H47">
    <cfRule type="expression" dxfId="3748" priority="3033">
      <formula>$E41=""</formula>
    </cfRule>
  </conditionalFormatting>
  <conditionalFormatting sqref="F41:H47">
    <cfRule type="expression" dxfId="3747" priority="3032">
      <formula>$E41=""</formula>
    </cfRule>
  </conditionalFormatting>
  <conditionalFormatting sqref="F41:H47">
    <cfRule type="expression" dxfId="3746" priority="3031">
      <formula>$C41&lt;$E$3</formula>
    </cfRule>
  </conditionalFormatting>
  <conditionalFormatting sqref="F41:H47">
    <cfRule type="expression" dxfId="3745" priority="3030">
      <formula>$E41=""</formula>
    </cfRule>
  </conditionalFormatting>
  <conditionalFormatting sqref="F41:H47">
    <cfRule type="expression" dxfId="3744" priority="3029">
      <formula>$C41&lt;$E$3</formula>
    </cfRule>
  </conditionalFormatting>
  <conditionalFormatting sqref="F41:H47">
    <cfRule type="expression" dxfId="3743" priority="3028">
      <formula>$E41=""</formula>
    </cfRule>
  </conditionalFormatting>
  <conditionalFormatting sqref="F41:H47">
    <cfRule type="expression" dxfId="3742" priority="3027">
      <formula>$C41&lt;$E$3</formula>
    </cfRule>
  </conditionalFormatting>
  <conditionalFormatting sqref="F41:H47">
    <cfRule type="expression" dxfId="3741" priority="3026">
      <formula>$E41=""</formula>
    </cfRule>
  </conditionalFormatting>
  <conditionalFormatting sqref="F50:H51">
    <cfRule type="cellIs" dxfId="3740" priority="3025" stopIfTrue="1" operator="lessThan">
      <formula>0</formula>
    </cfRule>
  </conditionalFormatting>
  <conditionalFormatting sqref="F50:H51">
    <cfRule type="expression" dxfId="3739" priority="3024">
      <formula>$C50&lt;$E$3</formula>
    </cfRule>
  </conditionalFormatting>
  <conditionalFormatting sqref="F50:H51">
    <cfRule type="expression" dxfId="3738" priority="3020">
      <formula>$C50=$E$3</formula>
    </cfRule>
    <cfRule type="expression" dxfId="3737" priority="3021">
      <formula>$C50&lt;$E$3</formula>
    </cfRule>
    <cfRule type="cellIs" dxfId="3736" priority="3022" operator="equal">
      <formula>0</formula>
    </cfRule>
    <cfRule type="expression" dxfId="3735" priority="3023">
      <formula>$C50&gt;$E$3</formula>
    </cfRule>
  </conditionalFormatting>
  <conditionalFormatting sqref="F50:H51">
    <cfRule type="expression" dxfId="3734" priority="3019">
      <formula>$C50&lt;$E$3</formula>
    </cfRule>
  </conditionalFormatting>
  <conditionalFormatting sqref="F50:H51">
    <cfRule type="expression" dxfId="3733" priority="3015">
      <formula>$C50=$E$3</formula>
    </cfRule>
    <cfRule type="expression" dxfId="3732" priority="3016">
      <formula>$C50&lt;$E$3</formula>
    </cfRule>
    <cfRule type="cellIs" dxfId="3731" priority="3017" operator="equal">
      <formula>0</formula>
    </cfRule>
    <cfRule type="expression" dxfId="3730" priority="3018">
      <formula>$C50&gt;$E$3</formula>
    </cfRule>
  </conditionalFormatting>
  <conditionalFormatting sqref="F50:H51">
    <cfRule type="expression" dxfId="3729" priority="3014">
      <formula>$C50&lt;$E$3</formula>
    </cfRule>
  </conditionalFormatting>
  <conditionalFormatting sqref="F50:H51">
    <cfRule type="expression" dxfId="3728" priority="3010">
      <formula>$C50=$E$3</formula>
    </cfRule>
    <cfRule type="expression" dxfId="3727" priority="3011">
      <formula>$C50&lt;$E$3</formula>
    </cfRule>
    <cfRule type="cellIs" dxfId="3726" priority="3012" operator="equal">
      <formula>0</formula>
    </cfRule>
    <cfRule type="expression" dxfId="3725" priority="3013">
      <formula>$C50&gt;$E$3</formula>
    </cfRule>
  </conditionalFormatting>
  <conditionalFormatting sqref="F50:H51">
    <cfRule type="expression" dxfId="3724" priority="3009">
      <formula>$C50&lt;$E$3</formula>
    </cfRule>
  </conditionalFormatting>
  <conditionalFormatting sqref="F50:H51">
    <cfRule type="expression" dxfId="3723" priority="3005">
      <formula>$C50=$E$3</formula>
    </cfRule>
    <cfRule type="expression" dxfId="3722" priority="3006">
      <formula>$C50&lt;$E$3</formula>
    </cfRule>
    <cfRule type="cellIs" dxfId="3721" priority="3007" operator="equal">
      <formula>0</formula>
    </cfRule>
    <cfRule type="expression" dxfId="3720" priority="3008">
      <formula>$C50&gt;$E$3</formula>
    </cfRule>
  </conditionalFormatting>
  <conditionalFormatting sqref="F50:H51">
    <cfRule type="expression" dxfId="3719" priority="3004">
      <formula>$E50=""</formula>
    </cfRule>
  </conditionalFormatting>
  <conditionalFormatting sqref="F50:H51">
    <cfRule type="expression" dxfId="3718" priority="3003">
      <formula>$C50&lt;$E$3</formula>
    </cfRule>
  </conditionalFormatting>
  <conditionalFormatting sqref="F50:H51">
    <cfRule type="expression" dxfId="3717" priority="3002">
      <formula>$E50=""</formula>
    </cfRule>
  </conditionalFormatting>
  <conditionalFormatting sqref="F50:H51">
    <cfRule type="expression" dxfId="3716" priority="3001">
      <formula>$E50=""</formula>
    </cfRule>
  </conditionalFormatting>
  <conditionalFormatting sqref="F50:H51">
    <cfRule type="expression" dxfId="3715" priority="3000">
      <formula>$C50&lt;$E$3</formula>
    </cfRule>
  </conditionalFormatting>
  <conditionalFormatting sqref="F50:H51">
    <cfRule type="expression" dxfId="3714" priority="2999">
      <formula>$E50=""</formula>
    </cfRule>
  </conditionalFormatting>
  <conditionalFormatting sqref="F50:H51">
    <cfRule type="expression" dxfId="3713" priority="2998">
      <formula>$C50&lt;$E$3</formula>
    </cfRule>
  </conditionalFormatting>
  <conditionalFormatting sqref="F50:H51">
    <cfRule type="expression" dxfId="3712" priority="2997">
      <formula>$E50=""</formula>
    </cfRule>
  </conditionalFormatting>
  <conditionalFormatting sqref="F50:H51">
    <cfRule type="expression" dxfId="3711" priority="2996">
      <formula>$C50&lt;$E$3</formula>
    </cfRule>
  </conditionalFormatting>
  <conditionalFormatting sqref="F50:H51">
    <cfRule type="expression" dxfId="3710" priority="2995">
      <formula>$E50=""</formula>
    </cfRule>
  </conditionalFormatting>
  <conditionalFormatting sqref="E14:E20 E5:E11 E41:E47 E32:E38 E23:E29 E50:E51">
    <cfRule type="containsText" dxfId="3709" priority="2988" operator="containsText" text="Sa">
      <formula>NOT(ISERROR(SEARCH("Sa",E5)))</formula>
    </cfRule>
    <cfRule type="containsText" dxfId="3708" priority="2990" operator="containsText" text="Fr">
      <formula>NOT(ISERROR(SEARCH("Fr",E5)))</formula>
    </cfRule>
    <cfRule type="containsText" dxfId="3707" priority="2991" operator="containsText" text="Th">
      <formula>NOT(ISERROR(SEARCH("Th",E5)))</formula>
    </cfRule>
  </conditionalFormatting>
  <conditionalFormatting sqref="E14:E20 E5:E11 E41:E47 E32:E38 E23:E29 E50:E51">
    <cfRule type="containsText" dxfId="3706" priority="2992" operator="containsText" text="Wed">
      <formula>NOT(ISERROR(SEARCH("Wed",E5)))</formula>
    </cfRule>
    <cfRule type="containsText" dxfId="3705" priority="2993" operator="containsText" text="Tu">
      <formula>NOT(ISERROR(SEARCH("Tu",E5)))</formula>
    </cfRule>
    <cfRule type="beginsWith" dxfId="3704" priority="2994" operator="beginsWith" text="M">
      <formula>LEFT(E5,1)="M"</formula>
    </cfRule>
  </conditionalFormatting>
  <conditionalFormatting sqref="E14:E20 E5:E11 E41:E47 E32:E38 E23:E29 E50:E51">
    <cfRule type="containsText" dxfId="3703" priority="2989" operator="containsText" text="Su">
      <formula>NOT(ISERROR(SEARCH("Su",E5)))</formula>
    </cfRule>
  </conditionalFormatting>
  <conditionalFormatting sqref="C4">
    <cfRule type="cellIs" dxfId="3702" priority="2984" stopIfTrue="1" operator="notBetween">
      <formula>$B$2</formula>
      <formula>$B$3</formula>
    </cfRule>
  </conditionalFormatting>
  <conditionalFormatting sqref="C4">
    <cfRule type="cellIs" dxfId="3701" priority="2985" operator="greaterThan">
      <formula>$E$3</formula>
    </cfRule>
    <cfRule type="cellIs" dxfId="3700" priority="2986" operator="equal">
      <formula>$E$3</formula>
    </cfRule>
    <cfRule type="cellIs" dxfId="3699" priority="2987" operator="lessThan">
      <formula>$E$3</formula>
    </cfRule>
  </conditionalFormatting>
  <conditionalFormatting sqref="H23:H29 H32 H14:H20 H11">
    <cfRule type="cellIs" dxfId="3698" priority="2794" stopIfTrue="1" operator="lessThan">
      <formula>0</formula>
    </cfRule>
  </conditionalFormatting>
  <conditionalFormatting sqref="H12">
    <cfRule type="expression" dxfId="3697" priority="2793">
      <formula>$F12&gt;=$F13</formula>
    </cfRule>
  </conditionalFormatting>
  <conditionalFormatting sqref="H21">
    <cfRule type="expression" dxfId="3696" priority="2792">
      <formula>$F21&gt;=$F22</formula>
    </cfRule>
  </conditionalFormatting>
  <conditionalFormatting sqref="H30">
    <cfRule type="expression" dxfId="3695" priority="2791">
      <formula>$F30&gt;=$F31</formula>
    </cfRule>
  </conditionalFormatting>
  <conditionalFormatting sqref="H12">
    <cfRule type="expression" dxfId="3694" priority="2790">
      <formula>$F12&gt;=$F13</formula>
    </cfRule>
  </conditionalFormatting>
  <conditionalFormatting sqref="H21">
    <cfRule type="expression" dxfId="3693" priority="2789">
      <formula>$F21&gt;=$F22</formula>
    </cfRule>
  </conditionalFormatting>
  <conditionalFormatting sqref="H30">
    <cfRule type="expression" dxfId="3692" priority="2788">
      <formula>$F30&gt;=$F31</formula>
    </cfRule>
  </conditionalFormatting>
  <conditionalFormatting sqref="H11">
    <cfRule type="expression" dxfId="3691" priority="2786">
      <formula>$C11&lt;$E$3</formula>
    </cfRule>
  </conditionalFormatting>
  <conditionalFormatting sqref="H11">
    <cfRule type="expression" dxfId="3690" priority="2783">
      <formula>$C11=$E$3</formula>
    </cfRule>
    <cfRule type="expression" dxfId="3689" priority="2784">
      <formula>$C11&lt;$E$3</formula>
    </cfRule>
    <cfRule type="cellIs" dxfId="3688" priority="2785" operator="equal">
      <formula>0</formula>
    </cfRule>
    <cfRule type="expression" dxfId="3687" priority="2787">
      <formula>$C11&gt;$E$3</formula>
    </cfRule>
  </conditionalFormatting>
  <conditionalFormatting sqref="H11">
    <cfRule type="expression" dxfId="3686" priority="2782">
      <formula>$C11&lt;$E$3</formula>
    </cfRule>
  </conditionalFormatting>
  <conditionalFormatting sqref="H11">
    <cfRule type="expression" dxfId="3685" priority="2778">
      <formula>$C11=$E$3</formula>
    </cfRule>
    <cfRule type="expression" dxfId="3684" priority="2779">
      <formula>$C11&lt;$E$3</formula>
    </cfRule>
    <cfRule type="cellIs" dxfId="3683" priority="2780" operator="equal">
      <formula>0</formula>
    </cfRule>
    <cfRule type="expression" dxfId="3682" priority="2781">
      <formula>$C11&gt;$E$3</formula>
    </cfRule>
  </conditionalFormatting>
  <conditionalFormatting sqref="H11">
    <cfRule type="expression" dxfId="3681" priority="2777">
      <formula>$C11&lt;$E$3</formula>
    </cfRule>
  </conditionalFormatting>
  <conditionalFormatting sqref="H11">
    <cfRule type="expression" dxfId="3680" priority="2773">
      <formula>$C11=$E$3</formula>
    </cfRule>
    <cfRule type="expression" dxfId="3679" priority="2774">
      <formula>$C11&lt;$E$3</formula>
    </cfRule>
    <cfRule type="cellIs" dxfId="3678" priority="2775" operator="equal">
      <formula>0</formula>
    </cfRule>
    <cfRule type="expression" dxfId="3677" priority="2776">
      <formula>$C11&gt;$E$3</formula>
    </cfRule>
  </conditionalFormatting>
  <conditionalFormatting sqref="H11">
    <cfRule type="expression" dxfId="3676" priority="2772">
      <formula>$C11&lt;$E$3</formula>
    </cfRule>
  </conditionalFormatting>
  <conditionalFormatting sqref="H11">
    <cfRule type="expression" dxfId="3675" priority="2768">
      <formula>$C11=$E$3</formula>
    </cfRule>
    <cfRule type="expression" dxfId="3674" priority="2769">
      <formula>$C11&lt;$E$3</formula>
    </cfRule>
    <cfRule type="cellIs" dxfId="3673" priority="2770" operator="equal">
      <formula>0</formula>
    </cfRule>
    <cfRule type="expression" dxfId="3672" priority="2771">
      <formula>$C11&gt;$E$3</formula>
    </cfRule>
  </conditionalFormatting>
  <conditionalFormatting sqref="H11">
    <cfRule type="expression" dxfId="3671" priority="2767">
      <formula>$E11=""</formula>
    </cfRule>
  </conditionalFormatting>
  <conditionalFormatting sqref="H11">
    <cfRule type="expression" dxfId="3670" priority="2766">
      <formula>$C11&lt;$E$3</formula>
    </cfRule>
  </conditionalFormatting>
  <conditionalFormatting sqref="H11">
    <cfRule type="expression" dxfId="3669" priority="2765">
      <formula>$E11=""</formula>
    </cfRule>
  </conditionalFormatting>
  <conditionalFormatting sqref="H11">
    <cfRule type="expression" dxfId="3668" priority="2764">
      <formula>$E11=""</formula>
    </cfRule>
  </conditionalFormatting>
  <conditionalFormatting sqref="H11">
    <cfRule type="expression" dxfId="3667" priority="2763">
      <formula>$C11&lt;$E$3</formula>
    </cfRule>
  </conditionalFormatting>
  <conditionalFormatting sqref="H11">
    <cfRule type="expression" dxfId="3666" priority="2762">
      <formula>$E11=""</formula>
    </cfRule>
  </conditionalFormatting>
  <conditionalFormatting sqref="H11">
    <cfRule type="expression" dxfId="3665" priority="2761">
      <formula>$C11&lt;$E$3</formula>
    </cfRule>
  </conditionalFormatting>
  <conditionalFormatting sqref="H11">
    <cfRule type="expression" dxfId="3664" priority="2760">
      <formula>$E11=""</formula>
    </cfRule>
  </conditionalFormatting>
  <conditionalFormatting sqref="H11">
    <cfRule type="expression" dxfId="3663" priority="2759">
      <formula>$C11&lt;$E$3</formula>
    </cfRule>
  </conditionalFormatting>
  <conditionalFormatting sqref="H11">
    <cfRule type="expression" dxfId="3662" priority="2758">
      <formula>$E11=""</formula>
    </cfRule>
  </conditionalFormatting>
  <conditionalFormatting sqref="H14:H20">
    <cfRule type="expression" dxfId="3661" priority="2756">
      <formula>$C14&lt;$E$3</formula>
    </cfRule>
  </conditionalFormatting>
  <conditionalFormatting sqref="H14:H20">
    <cfRule type="expression" dxfId="3660" priority="2753">
      <formula>$C14=$E$3</formula>
    </cfRule>
    <cfRule type="expression" dxfId="3659" priority="2754">
      <formula>$C14&lt;$E$3</formula>
    </cfRule>
    <cfRule type="cellIs" dxfId="3658" priority="2755" operator="equal">
      <formula>0</formula>
    </cfRule>
    <cfRule type="expression" dxfId="3657" priority="2757">
      <formula>$C14&gt;$E$3</formula>
    </cfRule>
  </conditionalFormatting>
  <conditionalFormatting sqref="H14:H20">
    <cfRule type="expression" dxfId="3656" priority="2752">
      <formula>$C14&lt;$E$3</formula>
    </cfRule>
  </conditionalFormatting>
  <conditionalFormatting sqref="H14:H20">
    <cfRule type="expression" dxfId="3655" priority="2748">
      <formula>$C14=$E$3</formula>
    </cfRule>
    <cfRule type="expression" dxfId="3654" priority="2749">
      <formula>$C14&lt;$E$3</formula>
    </cfRule>
    <cfRule type="cellIs" dxfId="3653" priority="2750" operator="equal">
      <formula>0</formula>
    </cfRule>
    <cfRule type="expression" dxfId="3652" priority="2751">
      <formula>$C14&gt;$E$3</formula>
    </cfRule>
  </conditionalFormatting>
  <conditionalFormatting sqref="H14:H20">
    <cfRule type="expression" dxfId="3651" priority="2747">
      <formula>$C14&lt;$E$3</formula>
    </cfRule>
  </conditionalFormatting>
  <conditionalFormatting sqref="H14:H20">
    <cfRule type="expression" dxfId="3650" priority="2743">
      <formula>$C14=$E$3</formula>
    </cfRule>
    <cfRule type="expression" dxfId="3649" priority="2744">
      <formula>$C14&lt;$E$3</formula>
    </cfRule>
    <cfRule type="cellIs" dxfId="3648" priority="2745" operator="equal">
      <formula>0</formula>
    </cfRule>
    <cfRule type="expression" dxfId="3647" priority="2746">
      <formula>$C14&gt;$E$3</formula>
    </cfRule>
  </conditionalFormatting>
  <conditionalFormatting sqref="H14:H20">
    <cfRule type="expression" dxfId="3646" priority="2742">
      <formula>$C14&lt;$E$3</formula>
    </cfRule>
  </conditionalFormatting>
  <conditionalFormatting sqref="H14:H20">
    <cfRule type="expression" dxfId="3645" priority="2738">
      <formula>$C14=$E$3</formula>
    </cfRule>
    <cfRule type="expression" dxfId="3644" priority="2739">
      <formula>$C14&lt;$E$3</formula>
    </cfRule>
    <cfRule type="cellIs" dxfId="3643" priority="2740" operator="equal">
      <formula>0</formula>
    </cfRule>
    <cfRule type="expression" dxfId="3642" priority="2741">
      <formula>$C14&gt;$E$3</formula>
    </cfRule>
  </conditionalFormatting>
  <conditionalFormatting sqref="H14:H20">
    <cfRule type="expression" dxfId="3641" priority="2737">
      <formula>$E14=""</formula>
    </cfRule>
  </conditionalFormatting>
  <conditionalFormatting sqref="H14:H20">
    <cfRule type="expression" dxfId="3640" priority="2736">
      <formula>$C14&lt;$E$3</formula>
    </cfRule>
  </conditionalFormatting>
  <conditionalFormatting sqref="H14:H20">
    <cfRule type="expression" dxfId="3639" priority="2735">
      <formula>$E14=""</formula>
    </cfRule>
  </conditionalFormatting>
  <conditionalFormatting sqref="H14:H20">
    <cfRule type="expression" dxfId="3638" priority="2734">
      <formula>$E14=""</formula>
    </cfRule>
  </conditionalFormatting>
  <conditionalFormatting sqref="H14:H20">
    <cfRule type="expression" dxfId="3637" priority="2733">
      <formula>$C14&lt;$E$3</formula>
    </cfRule>
  </conditionalFormatting>
  <conditionalFormatting sqref="H14:H20">
    <cfRule type="expression" dxfId="3636" priority="2732">
      <formula>$E14=""</formula>
    </cfRule>
  </conditionalFormatting>
  <conditionalFormatting sqref="H14:H20">
    <cfRule type="expression" dxfId="3635" priority="2731">
      <formula>$C14&lt;$E$3</formula>
    </cfRule>
  </conditionalFormatting>
  <conditionalFormatting sqref="H14:H20">
    <cfRule type="expression" dxfId="3634" priority="2730">
      <formula>$E14=""</formula>
    </cfRule>
  </conditionalFormatting>
  <conditionalFormatting sqref="H14:H20">
    <cfRule type="expression" dxfId="3633" priority="2729">
      <formula>$C14&lt;$E$3</formula>
    </cfRule>
  </conditionalFormatting>
  <conditionalFormatting sqref="H14:H20">
    <cfRule type="expression" dxfId="3632" priority="2728">
      <formula>$E14=""</formula>
    </cfRule>
  </conditionalFormatting>
  <conditionalFormatting sqref="H23:H29">
    <cfRule type="expression" dxfId="3631" priority="2726">
      <formula>$C23&lt;$E$3</formula>
    </cfRule>
  </conditionalFormatting>
  <conditionalFormatting sqref="H23:H29">
    <cfRule type="expression" dxfId="3630" priority="2723">
      <formula>$C23=$E$3</formula>
    </cfRule>
    <cfRule type="expression" dxfId="3629" priority="2724">
      <formula>$C23&lt;$E$3</formula>
    </cfRule>
    <cfRule type="cellIs" dxfId="3628" priority="2725" operator="equal">
      <formula>0</formula>
    </cfRule>
    <cfRule type="expression" dxfId="3627" priority="2727">
      <formula>$C23&gt;$E$3</formula>
    </cfRule>
  </conditionalFormatting>
  <conditionalFormatting sqref="H23:H29">
    <cfRule type="expression" dxfId="3626" priority="2722">
      <formula>$C23&lt;$E$3</formula>
    </cfRule>
  </conditionalFormatting>
  <conditionalFormatting sqref="H23:H29">
    <cfRule type="expression" dxfId="3625" priority="2718">
      <formula>$C23=$E$3</formula>
    </cfRule>
    <cfRule type="expression" dxfId="3624" priority="2719">
      <formula>$C23&lt;$E$3</formula>
    </cfRule>
    <cfRule type="cellIs" dxfId="3623" priority="2720" operator="equal">
      <formula>0</formula>
    </cfRule>
    <cfRule type="expression" dxfId="3622" priority="2721">
      <formula>$C23&gt;$E$3</formula>
    </cfRule>
  </conditionalFormatting>
  <conditionalFormatting sqref="H23:H29">
    <cfRule type="expression" dxfId="3621" priority="2717">
      <formula>$C23&lt;$E$3</formula>
    </cfRule>
  </conditionalFormatting>
  <conditionalFormatting sqref="H23:H29">
    <cfRule type="expression" dxfId="3620" priority="2713">
      <formula>$C23=$E$3</formula>
    </cfRule>
    <cfRule type="expression" dxfId="3619" priority="2714">
      <formula>$C23&lt;$E$3</formula>
    </cfRule>
    <cfRule type="cellIs" dxfId="3618" priority="2715" operator="equal">
      <formula>0</formula>
    </cfRule>
    <cfRule type="expression" dxfId="3617" priority="2716">
      <formula>$C23&gt;$E$3</formula>
    </cfRule>
  </conditionalFormatting>
  <conditionalFormatting sqref="H23:H29">
    <cfRule type="expression" dxfId="3616" priority="2712">
      <formula>$C23&lt;$E$3</formula>
    </cfRule>
  </conditionalFormatting>
  <conditionalFormatting sqref="H23:H29">
    <cfRule type="expression" dxfId="3615" priority="2708">
      <formula>$C23=$E$3</formula>
    </cfRule>
    <cfRule type="expression" dxfId="3614" priority="2709">
      <formula>$C23&lt;$E$3</formula>
    </cfRule>
    <cfRule type="cellIs" dxfId="3613" priority="2710" operator="equal">
      <formula>0</formula>
    </cfRule>
    <cfRule type="expression" dxfId="3612" priority="2711">
      <formula>$C23&gt;$E$3</formula>
    </cfRule>
  </conditionalFormatting>
  <conditionalFormatting sqref="H23:H29">
    <cfRule type="expression" dxfId="3611" priority="2707">
      <formula>$E23=""</formula>
    </cfRule>
  </conditionalFormatting>
  <conditionalFormatting sqref="H23:H29">
    <cfRule type="expression" dxfId="3610" priority="2706">
      <formula>$C23&lt;$E$3</formula>
    </cfRule>
  </conditionalFormatting>
  <conditionalFormatting sqref="H23:H29">
    <cfRule type="expression" dxfId="3609" priority="2705">
      <formula>$E23=""</formula>
    </cfRule>
  </conditionalFormatting>
  <conditionalFormatting sqref="H23:H29">
    <cfRule type="expression" dxfId="3608" priority="2704">
      <formula>$E23=""</formula>
    </cfRule>
  </conditionalFormatting>
  <conditionalFormatting sqref="H23:H29">
    <cfRule type="expression" dxfId="3607" priority="2703">
      <formula>$C23&lt;$E$3</formula>
    </cfRule>
  </conditionalFormatting>
  <conditionalFormatting sqref="H23:H29">
    <cfRule type="expression" dxfId="3606" priority="2702">
      <formula>$E23=""</formula>
    </cfRule>
  </conditionalFormatting>
  <conditionalFormatting sqref="H23:H29">
    <cfRule type="expression" dxfId="3605" priority="2701">
      <formula>$C23&lt;$E$3</formula>
    </cfRule>
  </conditionalFormatting>
  <conditionalFormatting sqref="H23:H29">
    <cfRule type="expression" dxfId="3604" priority="2700">
      <formula>$E23=""</formula>
    </cfRule>
  </conditionalFormatting>
  <conditionalFormatting sqref="H23:H29">
    <cfRule type="expression" dxfId="3603" priority="2699">
      <formula>$C23&lt;$E$3</formula>
    </cfRule>
  </conditionalFormatting>
  <conditionalFormatting sqref="H23:H29">
    <cfRule type="expression" dxfId="3602" priority="2698">
      <formula>$E23=""</formula>
    </cfRule>
  </conditionalFormatting>
  <conditionalFormatting sqref="H32">
    <cfRule type="expression" dxfId="3601" priority="2696">
      <formula>$C32&lt;$E$3</formula>
    </cfRule>
  </conditionalFormatting>
  <conditionalFormatting sqref="H32">
    <cfRule type="expression" dxfId="3600" priority="2693">
      <formula>$C32=$E$3</formula>
    </cfRule>
    <cfRule type="expression" dxfId="3599" priority="2694">
      <formula>$C32&lt;$E$3</formula>
    </cfRule>
    <cfRule type="cellIs" dxfId="3598" priority="2695" operator="equal">
      <formula>0</formula>
    </cfRule>
    <cfRule type="expression" dxfId="3597" priority="2697">
      <formula>$C32&gt;$E$3</formula>
    </cfRule>
  </conditionalFormatting>
  <conditionalFormatting sqref="H32">
    <cfRule type="expression" dxfId="3596" priority="2692">
      <formula>$C32&lt;$E$3</formula>
    </cfRule>
  </conditionalFormatting>
  <conditionalFormatting sqref="H32">
    <cfRule type="expression" dxfId="3595" priority="2688">
      <formula>$C32=$E$3</formula>
    </cfRule>
    <cfRule type="expression" dxfId="3594" priority="2689">
      <formula>$C32&lt;$E$3</formula>
    </cfRule>
    <cfRule type="cellIs" dxfId="3593" priority="2690" operator="equal">
      <formula>0</formula>
    </cfRule>
    <cfRule type="expression" dxfId="3592" priority="2691">
      <formula>$C32&gt;$E$3</formula>
    </cfRule>
  </conditionalFormatting>
  <conditionalFormatting sqref="H32">
    <cfRule type="expression" dxfId="3591" priority="2687">
      <formula>$C32&lt;$E$3</formula>
    </cfRule>
  </conditionalFormatting>
  <conditionalFormatting sqref="H32">
    <cfRule type="expression" dxfId="3590" priority="2683">
      <formula>$C32=$E$3</formula>
    </cfRule>
    <cfRule type="expression" dxfId="3589" priority="2684">
      <formula>$C32&lt;$E$3</formula>
    </cfRule>
    <cfRule type="cellIs" dxfId="3588" priority="2685" operator="equal">
      <formula>0</formula>
    </cfRule>
    <cfRule type="expression" dxfId="3587" priority="2686">
      <formula>$C32&gt;$E$3</formula>
    </cfRule>
  </conditionalFormatting>
  <conditionalFormatting sqref="H32">
    <cfRule type="expression" dxfId="3586" priority="2682">
      <formula>$C32&lt;$E$3</formula>
    </cfRule>
  </conditionalFormatting>
  <conditionalFormatting sqref="H32">
    <cfRule type="expression" dxfId="3585" priority="2678">
      <formula>$C32=$E$3</formula>
    </cfRule>
    <cfRule type="expression" dxfId="3584" priority="2679">
      <formula>$C32&lt;$E$3</formula>
    </cfRule>
    <cfRule type="cellIs" dxfId="3583" priority="2680" operator="equal">
      <formula>0</formula>
    </cfRule>
    <cfRule type="expression" dxfId="3582" priority="2681">
      <formula>$C32&gt;$E$3</formula>
    </cfRule>
  </conditionalFormatting>
  <conditionalFormatting sqref="H32">
    <cfRule type="expression" dxfId="3581" priority="2677">
      <formula>$E32=""</formula>
    </cfRule>
  </conditionalFormatting>
  <conditionalFormatting sqref="H32">
    <cfRule type="expression" dxfId="3580" priority="2676">
      <formula>$C32&lt;$E$3</formula>
    </cfRule>
  </conditionalFormatting>
  <conditionalFormatting sqref="H32">
    <cfRule type="expression" dxfId="3579" priority="2675">
      <formula>$E32=""</formula>
    </cfRule>
  </conditionalFormatting>
  <conditionalFormatting sqref="H32">
    <cfRule type="expression" dxfId="3578" priority="2674">
      <formula>$E32=""</formula>
    </cfRule>
  </conditionalFormatting>
  <conditionalFormatting sqref="H32">
    <cfRule type="expression" dxfId="3577" priority="2673">
      <formula>$C32&lt;$E$3</formula>
    </cfRule>
  </conditionalFormatting>
  <conditionalFormatting sqref="H32">
    <cfRule type="expression" dxfId="3576" priority="2672">
      <formula>$E32=""</formula>
    </cfRule>
  </conditionalFormatting>
  <conditionalFormatting sqref="H32">
    <cfRule type="expression" dxfId="3575" priority="2671">
      <formula>$C32&lt;$E$3</formula>
    </cfRule>
  </conditionalFormatting>
  <conditionalFormatting sqref="H32">
    <cfRule type="expression" dxfId="3574" priority="2670">
      <formula>$E32=""</formula>
    </cfRule>
  </conditionalFormatting>
  <conditionalFormatting sqref="H32">
    <cfRule type="expression" dxfId="3573" priority="2669">
      <formula>$C32&lt;$E$3</formula>
    </cfRule>
  </conditionalFormatting>
  <conditionalFormatting sqref="H32">
    <cfRule type="expression" dxfId="3572" priority="2668">
      <formula>$E32=""</formula>
    </cfRule>
  </conditionalFormatting>
  <conditionalFormatting sqref="F52:H52">
    <cfRule type="expression" dxfId="3571" priority="3165" stopIfTrue="1">
      <formula>$H$52=-1E-55</formula>
    </cfRule>
    <cfRule type="expression" dxfId="3570" priority="3166">
      <formula>$F52&gt;=$F53</formula>
    </cfRule>
  </conditionalFormatting>
  <conditionalFormatting sqref="H33:H37">
    <cfRule type="cellIs" dxfId="3569" priority="2581" stopIfTrue="1" operator="lessThan">
      <formula>0</formula>
    </cfRule>
  </conditionalFormatting>
  <conditionalFormatting sqref="H33:H37">
    <cfRule type="expression" dxfId="3568" priority="2585">
      <formula>$C33&lt;$E$3</formula>
    </cfRule>
  </conditionalFormatting>
  <conditionalFormatting sqref="H33:H37">
    <cfRule type="expression" dxfId="3567" priority="2582">
      <formula>$C33=$E$3</formula>
    </cfRule>
    <cfRule type="expression" dxfId="3566" priority="2583">
      <formula>$C33&lt;$E$3</formula>
    </cfRule>
    <cfRule type="cellIs" dxfId="3565" priority="2584" operator="equal">
      <formula>0</formula>
    </cfRule>
    <cfRule type="expression" dxfId="3564" priority="2586">
      <formula>$C33&gt;$E$3</formula>
    </cfRule>
  </conditionalFormatting>
  <conditionalFormatting sqref="H33:H37">
    <cfRule type="expression" dxfId="3563" priority="2580">
      <formula>$C33&lt;$E$3</formula>
    </cfRule>
  </conditionalFormatting>
  <conditionalFormatting sqref="H33:H37">
    <cfRule type="expression" dxfId="3562" priority="2576">
      <formula>$C33=$E$3</formula>
    </cfRule>
    <cfRule type="expression" dxfId="3561" priority="2577">
      <formula>$C33&lt;$E$3</formula>
    </cfRule>
    <cfRule type="cellIs" dxfId="3560" priority="2578" operator="equal">
      <formula>0</formula>
    </cfRule>
    <cfRule type="expression" dxfId="3559" priority="2579">
      <formula>$C33&gt;$E$3</formula>
    </cfRule>
  </conditionalFormatting>
  <conditionalFormatting sqref="H33:H37">
    <cfRule type="expression" dxfId="3558" priority="2575">
      <formula>$E33=""</formula>
    </cfRule>
  </conditionalFormatting>
  <conditionalFormatting sqref="H36">
    <cfRule type="expression" dxfId="3557" priority="2574">
      <formula>$E36=""</formula>
    </cfRule>
  </conditionalFormatting>
  <conditionalFormatting sqref="H33:H37">
    <cfRule type="expression" dxfId="3556" priority="2573">
      <formula>$C33&lt;$E$3</formula>
    </cfRule>
  </conditionalFormatting>
  <conditionalFormatting sqref="H33:H37">
    <cfRule type="expression" dxfId="3555" priority="2569">
      <formula>$C33=$E$3</formula>
    </cfRule>
    <cfRule type="expression" dxfId="3554" priority="2570">
      <formula>$C33&lt;$E$3</formula>
    </cfRule>
    <cfRule type="cellIs" dxfId="3553" priority="2571" operator="equal">
      <formula>0</formula>
    </cfRule>
    <cfRule type="expression" dxfId="3552" priority="2572">
      <formula>$C33&gt;$E$3</formula>
    </cfRule>
  </conditionalFormatting>
  <conditionalFormatting sqref="H33:H37">
    <cfRule type="expression" dxfId="3551" priority="2568">
      <formula>$C33&lt;$E$3</formula>
    </cfRule>
  </conditionalFormatting>
  <conditionalFormatting sqref="H33:H37">
    <cfRule type="expression" dxfId="3550" priority="2564">
      <formula>$C33=$E$3</formula>
    </cfRule>
    <cfRule type="expression" dxfId="3549" priority="2565">
      <formula>$C33&lt;$E$3</formula>
    </cfRule>
    <cfRule type="cellIs" dxfId="3548" priority="2566" operator="equal">
      <formula>0</formula>
    </cfRule>
    <cfRule type="expression" dxfId="3547" priority="2567">
      <formula>$C33&gt;$E$3</formula>
    </cfRule>
  </conditionalFormatting>
  <conditionalFormatting sqref="H33:H37">
    <cfRule type="expression" dxfId="3546" priority="2563">
      <formula>$E33=""</formula>
    </cfRule>
  </conditionalFormatting>
  <conditionalFormatting sqref="H33:H37">
    <cfRule type="expression" dxfId="3545" priority="2562">
      <formula>$C33&lt;$E$3</formula>
    </cfRule>
  </conditionalFormatting>
  <conditionalFormatting sqref="H33:H37">
    <cfRule type="expression" dxfId="3544" priority="2561">
      <formula>$E33=""</formula>
    </cfRule>
  </conditionalFormatting>
  <conditionalFormatting sqref="H33:H37">
    <cfRule type="expression" dxfId="3543" priority="2560">
      <formula>$E33=""</formula>
    </cfRule>
  </conditionalFormatting>
  <conditionalFormatting sqref="H33:H37">
    <cfRule type="expression" dxfId="3542" priority="2559">
      <formula>$C33&lt;$E$3</formula>
    </cfRule>
  </conditionalFormatting>
  <conditionalFormatting sqref="H33:H37">
    <cfRule type="expression" dxfId="3541" priority="2558">
      <formula>$E33=""</formula>
    </cfRule>
  </conditionalFormatting>
  <conditionalFormatting sqref="H33:H37">
    <cfRule type="expression" dxfId="3540" priority="2557">
      <formula>$C33&lt;$E$3</formula>
    </cfRule>
  </conditionalFormatting>
  <conditionalFormatting sqref="H33:H37">
    <cfRule type="expression" dxfId="3539" priority="2556">
      <formula>$E33=""</formula>
    </cfRule>
  </conditionalFormatting>
  <conditionalFormatting sqref="H33:H37">
    <cfRule type="expression" dxfId="3538" priority="2555">
      <formula>$C33&lt;$E$3</formula>
    </cfRule>
  </conditionalFormatting>
  <conditionalFormatting sqref="H33:H37">
    <cfRule type="expression" dxfId="3537" priority="2554">
      <formula>$E33=""</formula>
    </cfRule>
  </conditionalFormatting>
  <conditionalFormatting sqref="V50:W51 V5:W20 V23:W29 V32:W38 V41:W47">
    <cfRule type="cellIs" dxfId="3536" priority="1788" stopIfTrue="1" operator="lessThan">
      <formula>0</formula>
    </cfRule>
  </conditionalFormatting>
  <conditionalFormatting sqref="Q4:Q51 R5:R11 R14:R20 R23:R29 R32:R38 R41:R47 R50:R51 T50:U51 T41:U47 T32:U38 T23:U29 T14:U20 T5:U11">
    <cfRule type="cellIs" dxfId="3535" priority="1789" stopIfTrue="1" operator="lessThan">
      <formula>0</formula>
    </cfRule>
  </conditionalFormatting>
  <conditionalFormatting sqref="M5:M11 M50:M51">
    <cfRule type="expression" dxfId="3534" priority="846">
      <formula>$C5&lt;$E$3</formula>
    </cfRule>
  </conditionalFormatting>
  <conditionalFormatting sqref="K10">
    <cfRule type="expression" dxfId="3533" priority="816">
      <formula>$C10&lt;$E$3</formula>
    </cfRule>
  </conditionalFormatting>
  <conditionalFormatting sqref="K50:K51">
    <cfRule type="expression" dxfId="3532" priority="639">
      <formula>$C50&lt;$E$3</formula>
    </cfRule>
  </conditionalFormatting>
  <conditionalFormatting sqref="M14:M20 M32:M38 M41:M47 M23:M29">
    <cfRule type="expression" dxfId="3531" priority="589">
      <formula>$C14&lt;$E$3</formula>
    </cfRule>
  </conditionalFormatting>
  <conditionalFormatting sqref="M14:M20 M32:M38 M41:M47 M23:M29">
    <cfRule type="expression" dxfId="3530" priority="587">
      <formula>$C14&lt;$E$3</formula>
    </cfRule>
  </conditionalFormatting>
  <conditionalFormatting sqref="M14:M20 M32:M38 M41:M47 M23:M29">
    <cfRule type="expression" dxfId="3529" priority="559">
      <formula>$C14&lt;$E$3</formula>
    </cfRule>
  </conditionalFormatting>
  <conditionalFormatting sqref="K19">
    <cfRule type="expression" dxfId="3528" priority="519">
      <formula>$C19&lt;$E$3</formula>
    </cfRule>
  </conditionalFormatting>
  <conditionalFormatting sqref="K19">
    <cfRule type="expression" dxfId="3527" priority="517">
      <formula>$C19&lt;$E$3</formula>
    </cfRule>
  </conditionalFormatting>
  <conditionalFormatting sqref="K19">
    <cfRule type="expression" dxfId="3526" priority="489">
      <formula>$C19&lt;$E$3</formula>
    </cfRule>
  </conditionalFormatting>
  <conditionalFormatting sqref="K14:K18">
    <cfRule type="expression" dxfId="3525" priority="487">
      <formula>$C14&lt;$E$3</formula>
    </cfRule>
  </conditionalFormatting>
  <conditionalFormatting sqref="K14:K18">
    <cfRule type="expression" dxfId="3524" priority="459">
      <formula>$C14&lt;$E$3</formula>
    </cfRule>
  </conditionalFormatting>
  <conditionalFormatting sqref="K14:K18">
    <cfRule type="expression" dxfId="3523" priority="457">
      <formula>$C14&lt;$E$3</formula>
    </cfRule>
  </conditionalFormatting>
  <conditionalFormatting sqref="K14:K18">
    <cfRule type="expression" dxfId="3522" priority="429">
      <formula>$C14&lt;$E$3</formula>
    </cfRule>
  </conditionalFormatting>
  <conditionalFormatting sqref="K28">
    <cfRule type="expression" dxfId="3521" priority="382">
      <formula>$C28&lt;$E$3</formula>
    </cfRule>
  </conditionalFormatting>
  <conditionalFormatting sqref="K28">
    <cfRule type="expression" dxfId="3520" priority="380">
      <formula>$C28&lt;$E$3</formula>
    </cfRule>
  </conditionalFormatting>
  <conditionalFormatting sqref="K28">
    <cfRule type="expression" dxfId="3519" priority="352">
      <formula>$C28&lt;$E$3</formula>
    </cfRule>
  </conditionalFormatting>
  <conditionalFormatting sqref="K23:K27">
    <cfRule type="expression" dxfId="3518" priority="350">
      <formula>$C23&lt;$E$3</formula>
    </cfRule>
  </conditionalFormatting>
  <conditionalFormatting sqref="K23:K27">
    <cfRule type="expression" dxfId="3517" priority="322">
      <formula>$C23&lt;$E$3</formula>
    </cfRule>
  </conditionalFormatting>
  <conditionalFormatting sqref="K23:K27">
    <cfRule type="expression" dxfId="3516" priority="320">
      <formula>$C23&lt;$E$3</formula>
    </cfRule>
  </conditionalFormatting>
  <conditionalFormatting sqref="K23:K27">
    <cfRule type="expression" dxfId="3515" priority="292">
      <formula>$C23&lt;$E$3</formula>
    </cfRule>
  </conditionalFormatting>
  <conditionalFormatting sqref="K37">
    <cfRule type="expression" dxfId="3514" priority="245">
      <formula>$C37&lt;$E$3</formula>
    </cfRule>
  </conditionalFormatting>
  <conditionalFormatting sqref="K37">
    <cfRule type="expression" dxfId="3513" priority="243">
      <formula>$C37&lt;$E$3</formula>
    </cfRule>
  </conditionalFormatting>
  <conditionalFormatting sqref="K37">
    <cfRule type="expression" dxfId="3512" priority="215">
      <formula>$C37&lt;$E$3</formula>
    </cfRule>
  </conditionalFormatting>
  <conditionalFormatting sqref="K32:K36">
    <cfRule type="expression" dxfId="3511" priority="213">
      <formula>$C32&lt;$E$3</formula>
    </cfRule>
  </conditionalFormatting>
  <conditionalFormatting sqref="K32:K36">
    <cfRule type="expression" dxfId="3510" priority="185">
      <formula>$C32&lt;$E$3</formula>
    </cfRule>
  </conditionalFormatting>
  <conditionalFormatting sqref="K32:K36">
    <cfRule type="expression" dxfId="3509" priority="183">
      <formula>$C32&lt;$E$3</formula>
    </cfRule>
  </conditionalFormatting>
  <conditionalFormatting sqref="K32:K36">
    <cfRule type="expression" dxfId="3508" priority="155">
      <formula>$C32&lt;$E$3</formula>
    </cfRule>
  </conditionalFormatting>
  <conditionalFormatting sqref="K46">
    <cfRule type="expression" dxfId="3507" priority="108">
      <formula>$C46&lt;$E$3</formula>
    </cfRule>
  </conditionalFormatting>
  <conditionalFormatting sqref="K46">
    <cfRule type="expression" dxfId="3506" priority="106">
      <formula>$C46&lt;$E$3</formula>
    </cfRule>
  </conditionalFormatting>
  <conditionalFormatting sqref="K46">
    <cfRule type="expression" dxfId="3505" priority="78">
      <formula>$C46&lt;$E$3</formula>
    </cfRule>
  </conditionalFormatting>
  <conditionalFormatting sqref="K41:K45">
    <cfRule type="expression" dxfId="3504" priority="76">
      <formula>$C41&lt;$E$3</formula>
    </cfRule>
  </conditionalFormatting>
  <conditionalFormatting sqref="K41:K45">
    <cfRule type="expression" dxfId="3503" priority="48">
      <formula>$C41&lt;$E$3</formula>
    </cfRule>
  </conditionalFormatting>
  <conditionalFormatting sqref="K41:K45">
    <cfRule type="expression" dxfId="3502" priority="46">
      <formula>$C41&lt;$E$3</formula>
    </cfRule>
  </conditionalFormatting>
  <conditionalFormatting sqref="K41:K45">
    <cfRule type="expression" dxfId="3501" priority="18">
      <formula>$C41&lt;$E$3</formula>
    </cfRule>
  </conditionalFormatting>
  <conditionalFormatting sqref="N29">
    <cfRule type="cellIs" dxfId="3500" priority="4" stopIfTrue="1" operator="lessThan">
      <formula>0</formula>
    </cfRule>
  </conditionalFormatting>
  <conditionalFormatting sqref="N25">
    <cfRule type="cellIs" dxfId="3499" priority="3" stopIfTrue="1" operator="lessThan">
      <formula>0</formula>
    </cfRule>
  </conditionalFormatting>
  <conditionalFormatting sqref="N26">
    <cfRule type="cellIs" dxfId="3498" priority="2" stopIfTrue="1" operator="lessThan">
      <formula>0</formula>
    </cfRule>
  </conditionalFormatting>
  <conditionalFormatting sqref="N24">
    <cfRule type="cellIs" dxfId="3497" priority="1" stopIfTrue="1" operator="lessThan">
      <formula>0</formula>
    </cfRule>
  </conditionalFormatting>
  <conditionalFormatting sqref="K5:K11 K50:K51">
    <cfRule type="cellIs" dxfId="3496" priority="922" stopIfTrue="1" operator="lessThan">
      <formula>0</formula>
    </cfRule>
  </conditionalFormatting>
  <conditionalFormatting sqref="K5:K11 K50:K51">
    <cfRule type="expression" dxfId="3495" priority="920">
      <formula>$C5&lt;$E$3</formula>
    </cfRule>
  </conditionalFormatting>
  <conditionalFormatting sqref="K5:K11 K50:K51">
    <cfRule type="expression" dxfId="3494" priority="917">
      <formula>$C5=$E$3</formula>
    </cfRule>
    <cfRule type="expression" dxfId="3493" priority="918">
      <formula>$C5&lt;$E$3</formula>
    </cfRule>
    <cfRule type="cellIs" dxfId="3492" priority="919" operator="equal">
      <formula>0</formula>
    </cfRule>
    <cfRule type="expression" dxfId="3491" priority="921">
      <formula>$C5&gt;$E$3</formula>
    </cfRule>
  </conditionalFormatting>
  <conditionalFormatting sqref="K5:K11 K50:K51">
    <cfRule type="expression" dxfId="3490" priority="916">
      <formula>$E5=""</formula>
    </cfRule>
  </conditionalFormatting>
  <conditionalFormatting sqref="K5:K11 K50:K51">
    <cfRule type="expression" dxfId="3489" priority="915">
      <formula>$E5=""</formula>
    </cfRule>
  </conditionalFormatting>
  <conditionalFormatting sqref="K5:K11 K50:K51">
    <cfRule type="expression" dxfId="3488" priority="914">
      <formula>$E5=""</formula>
    </cfRule>
  </conditionalFormatting>
  <conditionalFormatting sqref="J5:J11 J50:J51 L5:M11 L50:N51">
    <cfRule type="cellIs" dxfId="3487" priority="913" stopIfTrue="1" operator="lessThan">
      <formula>0</formula>
    </cfRule>
  </conditionalFormatting>
  <conditionalFormatting sqref="J5:J11 J50:J51 L5:M11 L50:M51">
    <cfRule type="expression" dxfId="3486" priority="911">
      <formula>$C5&lt;$E$3</formula>
    </cfRule>
  </conditionalFormatting>
  <conditionalFormatting sqref="J5:J11 J50:J51 L5:M11 L50:M51">
    <cfRule type="expression" dxfId="3485" priority="908">
      <formula>$C5=$E$3</formula>
    </cfRule>
    <cfRule type="expression" dxfId="3484" priority="909">
      <formula>$C5&lt;$E$3</formula>
    </cfRule>
    <cfRule type="cellIs" dxfId="3483" priority="910" operator="equal">
      <formula>0</formula>
    </cfRule>
    <cfRule type="expression" dxfId="3482" priority="912">
      <formula>$C5&gt;$E$3</formula>
    </cfRule>
  </conditionalFormatting>
  <conditionalFormatting sqref="J5:J11 J50:J51 L5:M11 L50:M51">
    <cfRule type="expression" dxfId="3481" priority="907">
      <formula>$E5=""</formula>
    </cfRule>
  </conditionalFormatting>
  <conditionalFormatting sqref="J5:J11 J50:J51 L5:M11 L50:M51">
    <cfRule type="expression" dxfId="3480" priority="906">
      <formula>$E5=""</formula>
    </cfRule>
  </conditionalFormatting>
  <conditionalFormatting sqref="J5:J11 J50:J51 L5:M11 L50:M51">
    <cfRule type="expression" dxfId="3479" priority="905">
      <formula>$E5=""</formula>
    </cfRule>
  </conditionalFormatting>
  <conditionalFormatting sqref="M5:M11 M50:M51">
    <cfRule type="expression" dxfId="3478" priority="904">
      <formula>$C5&lt;$E$3</formula>
    </cfRule>
  </conditionalFormatting>
  <conditionalFormatting sqref="M5:M11 M50:M51">
    <cfRule type="expression" dxfId="3477" priority="900">
      <formula>$C5=$E$3</formula>
    </cfRule>
    <cfRule type="expression" dxfId="3476" priority="901">
      <formula>$C5&lt;$E$3</formula>
    </cfRule>
    <cfRule type="cellIs" dxfId="3475" priority="902" operator="equal">
      <formula>0</formula>
    </cfRule>
    <cfRule type="expression" dxfId="3474" priority="903">
      <formula>$C5&gt;$E$3</formula>
    </cfRule>
  </conditionalFormatting>
  <conditionalFormatting sqref="M5:M11 M50:M51">
    <cfRule type="expression" dxfId="3473" priority="899">
      <formula>$C5&lt;$E$3</formula>
    </cfRule>
  </conditionalFormatting>
  <conditionalFormatting sqref="M5:M11 M50:M51">
    <cfRule type="expression" dxfId="3472" priority="895">
      <formula>$C5=$E$3</formula>
    </cfRule>
    <cfRule type="expression" dxfId="3471" priority="896">
      <formula>$C5&lt;$E$3</formula>
    </cfRule>
    <cfRule type="cellIs" dxfId="3470" priority="897" operator="equal">
      <formula>0</formula>
    </cfRule>
    <cfRule type="expression" dxfId="3469" priority="898">
      <formula>$C5&gt;$E$3</formula>
    </cfRule>
  </conditionalFormatting>
  <conditionalFormatting sqref="M5:M11 M50:M51">
    <cfRule type="expression" dxfId="3468" priority="894">
      <formula>$C5&lt;$E$3</formula>
    </cfRule>
  </conditionalFormatting>
  <conditionalFormatting sqref="M5:M11 M50:M51">
    <cfRule type="expression" dxfId="3467" priority="890">
      <formula>$C5=$E$3</formula>
    </cfRule>
    <cfRule type="expression" dxfId="3466" priority="891">
      <formula>$C5&lt;$E$3</formula>
    </cfRule>
    <cfRule type="cellIs" dxfId="3465" priority="892" operator="equal">
      <formula>0</formula>
    </cfRule>
    <cfRule type="expression" dxfId="3464" priority="893">
      <formula>$C5&gt;$E$3</formula>
    </cfRule>
  </conditionalFormatting>
  <conditionalFormatting sqref="M5:M11 M50:M51">
    <cfRule type="expression" dxfId="3463" priority="889">
      <formula>$C5&lt;$E$3</formula>
    </cfRule>
  </conditionalFormatting>
  <conditionalFormatting sqref="M5:M11 M50:M51">
    <cfRule type="expression" dxfId="3462" priority="885">
      <formula>$C5=$E$3</formula>
    </cfRule>
    <cfRule type="expression" dxfId="3461" priority="886">
      <formula>$C5&lt;$E$3</formula>
    </cfRule>
    <cfRule type="cellIs" dxfId="3460" priority="887" operator="equal">
      <formula>0</formula>
    </cfRule>
    <cfRule type="expression" dxfId="3459" priority="888">
      <formula>$C5&gt;$E$3</formula>
    </cfRule>
  </conditionalFormatting>
  <conditionalFormatting sqref="M5:M11 M50:M51">
    <cfRule type="expression" dxfId="3458" priority="884">
      <formula>$E5=""</formula>
    </cfRule>
  </conditionalFormatting>
  <conditionalFormatting sqref="M5:M11 M50:M51">
    <cfRule type="expression" dxfId="3457" priority="883">
      <formula>$C5&lt;$E$3</formula>
    </cfRule>
  </conditionalFormatting>
  <conditionalFormatting sqref="M5:M11 M50:M51">
    <cfRule type="expression" dxfId="3456" priority="882">
      <formula>$E5=""</formula>
    </cfRule>
  </conditionalFormatting>
  <conditionalFormatting sqref="M5:M11 M50:M51">
    <cfRule type="expression" dxfId="3455" priority="881">
      <formula>$E5=""</formula>
    </cfRule>
  </conditionalFormatting>
  <conditionalFormatting sqref="M5:M11 M50:M51">
    <cfRule type="expression" dxfId="3454" priority="880">
      <formula>$C5&lt;$E$3</formula>
    </cfRule>
  </conditionalFormatting>
  <conditionalFormatting sqref="M5:M11 M50:M51">
    <cfRule type="expression" dxfId="3453" priority="879">
      <formula>$E5=""</formula>
    </cfRule>
  </conditionalFormatting>
  <conditionalFormatting sqref="M5:M11 M50:M51">
    <cfRule type="expression" dxfId="3452" priority="878">
      <formula>$C5&lt;$E$3</formula>
    </cfRule>
  </conditionalFormatting>
  <conditionalFormatting sqref="M5:M11 M50:M51">
    <cfRule type="expression" dxfId="3451" priority="877">
      <formula>$E5=""</formula>
    </cfRule>
  </conditionalFormatting>
  <conditionalFormatting sqref="M5:M11 M50:M51">
    <cfRule type="expression" dxfId="3450" priority="876">
      <formula>$C5&lt;$E$3</formula>
    </cfRule>
  </conditionalFormatting>
  <conditionalFormatting sqref="M5:M11 M50:M51">
    <cfRule type="expression" dxfId="3449" priority="875">
      <formula>$E5=""</formula>
    </cfRule>
  </conditionalFormatting>
  <conditionalFormatting sqref="M5:M11 M50:M51">
    <cfRule type="expression" dxfId="3448" priority="874">
      <formula>$C5&lt;$E$3</formula>
    </cfRule>
  </conditionalFormatting>
  <conditionalFormatting sqref="M5:M11 M50:M51">
    <cfRule type="expression" dxfId="3447" priority="870">
      <formula>$C5=$E$3</formula>
    </cfRule>
    <cfRule type="expression" dxfId="3446" priority="871">
      <formula>$C5&lt;$E$3</formula>
    </cfRule>
    <cfRule type="cellIs" dxfId="3445" priority="872" operator="equal">
      <formula>0</formula>
    </cfRule>
    <cfRule type="expression" dxfId="3444" priority="873">
      <formula>$C5&gt;$E$3</formula>
    </cfRule>
  </conditionalFormatting>
  <conditionalFormatting sqref="M5:M11 M50:M51">
    <cfRule type="expression" dxfId="3443" priority="869">
      <formula>$C5&lt;$E$3</formula>
    </cfRule>
  </conditionalFormatting>
  <conditionalFormatting sqref="M5:M11 M50:M51">
    <cfRule type="expression" dxfId="3442" priority="865">
      <formula>$C5=$E$3</formula>
    </cfRule>
    <cfRule type="expression" dxfId="3441" priority="866">
      <formula>$C5&lt;$E$3</formula>
    </cfRule>
    <cfRule type="cellIs" dxfId="3440" priority="867" operator="equal">
      <formula>0</formula>
    </cfRule>
    <cfRule type="expression" dxfId="3439" priority="868">
      <formula>$C5&gt;$E$3</formula>
    </cfRule>
  </conditionalFormatting>
  <conditionalFormatting sqref="M5:M11 M50:M51">
    <cfRule type="expression" dxfId="3438" priority="864">
      <formula>$C5&lt;$E$3</formula>
    </cfRule>
  </conditionalFormatting>
  <conditionalFormatting sqref="M5:M11 M50:M51">
    <cfRule type="expression" dxfId="3437" priority="860">
      <formula>$C5=$E$3</formula>
    </cfRule>
    <cfRule type="expression" dxfId="3436" priority="861">
      <formula>$C5&lt;$E$3</formula>
    </cfRule>
    <cfRule type="cellIs" dxfId="3435" priority="862" operator="equal">
      <formula>0</formula>
    </cfRule>
    <cfRule type="expression" dxfId="3434" priority="863">
      <formula>$C5&gt;$E$3</formula>
    </cfRule>
  </conditionalFormatting>
  <conditionalFormatting sqref="M5:M11 M50:M51">
    <cfRule type="expression" dxfId="3433" priority="859">
      <formula>$C5&lt;$E$3</formula>
    </cfRule>
  </conditionalFormatting>
  <conditionalFormatting sqref="M5:M11 M50:M51">
    <cfRule type="expression" dxfId="3432" priority="855">
      <formula>$C5=$E$3</formula>
    </cfRule>
    <cfRule type="expression" dxfId="3431" priority="856">
      <formula>$C5&lt;$E$3</formula>
    </cfRule>
    <cfRule type="cellIs" dxfId="3430" priority="857" operator="equal">
      <formula>0</formula>
    </cfRule>
    <cfRule type="expression" dxfId="3429" priority="858">
      <formula>$C5&gt;$E$3</formula>
    </cfRule>
  </conditionalFormatting>
  <conditionalFormatting sqref="M5:M11 M50:M51">
    <cfRule type="expression" dxfId="3428" priority="854">
      <formula>$E5=""</formula>
    </cfRule>
  </conditionalFormatting>
  <conditionalFormatting sqref="M5:M11 M50:M51">
    <cfRule type="expression" dxfId="3427" priority="853">
      <formula>$C5&lt;$E$3</formula>
    </cfRule>
  </conditionalFormatting>
  <conditionalFormatting sqref="M5:M11 M50:M51">
    <cfRule type="expression" dxfId="3426" priority="852">
      <formula>$E5=""</formula>
    </cfRule>
  </conditionalFormatting>
  <conditionalFormatting sqref="M5:M11 M50:M51">
    <cfRule type="expression" dxfId="3425" priority="851">
      <formula>$E5=""</formula>
    </cfRule>
  </conditionalFormatting>
  <conditionalFormatting sqref="M5:M11 M50:M51">
    <cfRule type="expression" dxfId="3424" priority="850">
      <formula>$C5&lt;$E$3</formula>
    </cfRule>
  </conditionalFormatting>
  <conditionalFormatting sqref="M5:M11 M50:M51">
    <cfRule type="expression" dxfId="3423" priority="849">
      <formula>$E5=""</formula>
    </cfRule>
  </conditionalFormatting>
  <conditionalFormatting sqref="M5:M11 M50:M51">
    <cfRule type="expression" dxfId="3422" priority="848">
      <formula>$C5&lt;$E$3</formula>
    </cfRule>
  </conditionalFormatting>
  <conditionalFormatting sqref="M5:M11 M50:M51">
    <cfRule type="expression" dxfId="3421" priority="847">
      <formula>$E5=""</formula>
    </cfRule>
  </conditionalFormatting>
  <conditionalFormatting sqref="M5:M11 M50:M51">
    <cfRule type="expression" dxfId="3420" priority="845">
      <formula>$E5=""</formula>
    </cfRule>
  </conditionalFormatting>
  <conditionalFormatting sqref="K10">
    <cfRule type="expression" dxfId="3419" priority="844">
      <formula>$C10&lt;$E$3</formula>
    </cfRule>
  </conditionalFormatting>
  <conditionalFormatting sqref="K10">
    <cfRule type="expression" dxfId="3418" priority="840">
      <formula>$C10=$E$3</formula>
    </cfRule>
    <cfRule type="expression" dxfId="3417" priority="841">
      <formula>$C10&lt;$E$3</formula>
    </cfRule>
    <cfRule type="cellIs" dxfId="3416" priority="842" operator="equal">
      <formula>0</formula>
    </cfRule>
    <cfRule type="expression" dxfId="3415" priority="843">
      <formula>$C10&gt;$E$3</formula>
    </cfRule>
  </conditionalFormatting>
  <conditionalFormatting sqref="K10">
    <cfRule type="expression" dxfId="3414" priority="839">
      <formula>$C10&lt;$E$3</formula>
    </cfRule>
  </conditionalFormatting>
  <conditionalFormatting sqref="K10">
    <cfRule type="expression" dxfId="3413" priority="835">
      <formula>$C10=$E$3</formula>
    </cfRule>
    <cfRule type="expression" dxfId="3412" priority="836">
      <formula>$C10&lt;$E$3</formula>
    </cfRule>
    <cfRule type="cellIs" dxfId="3411" priority="837" operator="equal">
      <formula>0</formula>
    </cfRule>
    <cfRule type="expression" dxfId="3410" priority="838">
      <formula>$C10&gt;$E$3</formula>
    </cfRule>
  </conditionalFormatting>
  <conditionalFormatting sqref="K10">
    <cfRule type="expression" dxfId="3409" priority="834">
      <formula>$C10&lt;$E$3</formula>
    </cfRule>
  </conditionalFormatting>
  <conditionalFormatting sqref="K10">
    <cfRule type="expression" dxfId="3408" priority="830">
      <formula>$C10=$E$3</formula>
    </cfRule>
    <cfRule type="expression" dxfId="3407" priority="831">
      <formula>$C10&lt;$E$3</formula>
    </cfRule>
    <cfRule type="cellIs" dxfId="3406" priority="832" operator="equal">
      <formula>0</formula>
    </cfRule>
    <cfRule type="expression" dxfId="3405" priority="833">
      <formula>$C10&gt;$E$3</formula>
    </cfRule>
  </conditionalFormatting>
  <conditionalFormatting sqref="K10">
    <cfRule type="expression" dxfId="3404" priority="829">
      <formula>$C10&lt;$E$3</formula>
    </cfRule>
  </conditionalFormatting>
  <conditionalFormatting sqref="K10">
    <cfRule type="expression" dxfId="3403" priority="825">
      <formula>$C10=$E$3</formula>
    </cfRule>
    <cfRule type="expression" dxfId="3402" priority="826">
      <formula>$C10&lt;$E$3</formula>
    </cfRule>
    <cfRule type="cellIs" dxfId="3401" priority="827" operator="equal">
      <formula>0</formula>
    </cfRule>
    <cfRule type="expression" dxfId="3400" priority="828">
      <formula>$C10&gt;$E$3</formula>
    </cfRule>
  </conditionalFormatting>
  <conditionalFormatting sqref="K10">
    <cfRule type="expression" dxfId="3399" priority="824">
      <formula>$E10=""</formula>
    </cfRule>
  </conditionalFormatting>
  <conditionalFormatting sqref="K10">
    <cfRule type="expression" dxfId="3398" priority="823">
      <formula>$C10&lt;$E$3</formula>
    </cfRule>
  </conditionalFormatting>
  <conditionalFormatting sqref="K10">
    <cfRule type="expression" dxfId="3397" priority="822">
      <formula>$E10=""</formula>
    </cfRule>
  </conditionalFormatting>
  <conditionalFormatting sqref="K10">
    <cfRule type="expression" dxfId="3396" priority="821">
      <formula>$E10=""</formula>
    </cfRule>
  </conditionalFormatting>
  <conditionalFormatting sqref="K10">
    <cfRule type="expression" dxfId="3395" priority="820">
      <formula>$C10&lt;$E$3</formula>
    </cfRule>
  </conditionalFormatting>
  <conditionalFormatting sqref="K10">
    <cfRule type="expression" dxfId="3394" priority="819">
      <formula>$E10=""</formula>
    </cfRule>
  </conditionalFormatting>
  <conditionalFormatting sqref="K10">
    <cfRule type="expression" dxfId="3393" priority="818">
      <formula>$C10&lt;$E$3</formula>
    </cfRule>
  </conditionalFormatting>
  <conditionalFormatting sqref="K10">
    <cfRule type="expression" dxfId="3392" priority="817">
      <formula>$E10=""</formula>
    </cfRule>
  </conditionalFormatting>
  <conditionalFormatting sqref="K10">
    <cfRule type="expression" dxfId="3391" priority="815">
      <formula>$E10=""</formula>
    </cfRule>
  </conditionalFormatting>
  <conditionalFormatting sqref="K10">
    <cfRule type="expression" dxfId="3390" priority="814">
      <formula>$C10&lt;$E$3</formula>
    </cfRule>
  </conditionalFormatting>
  <conditionalFormatting sqref="K10">
    <cfRule type="expression" dxfId="3389" priority="810">
      <formula>$C10=$E$3</formula>
    </cfRule>
    <cfRule type="expression" dxfId="3388" priority="811">
      <formula>$C10&lt;$E$3</formula>
    </cfRule>
    <cfRule type="cellIs" dxfId="3387" priority="812" operator="equal">
      <formula>0</formula>
    </cfRule>
    <cfRule type="expression" dxfId="3386" priority="813">
      <formula>$C10&gt;$E$3</formula>
    </cfRule>
  </conditionalFormatting>
  <conditionalFormatting sqref="K10">
    <cfRule type="expression" dxfId="3385" priority="809">
      <formula>$C10&lt;$E$3</formula>
    </cfRule>
  </conditionalFormatting>
  <conditionalFormatting sqref="K10">
    <cfRule type="expression" dxfId="3384" priority="805">
      <formula>$C10=$E$3</formula>
    </cfRule>
    <cfRule type="expression" dxfId="3383" priority="806">
      <formula>$C10&lt;$E$3</formula>
    </cfRule>
    <cfRule type="cellIs" dxfId="3382" priority="807" operator="equal">
      <formula>0</formula>
    </cfRule>
    <cfRule type="expression" dxfId="3381" priority="808">
      <formula>$C10&gt;$E$3</formula>
    </cfRule>
  </conditionalFormatting>
  <conditionalFormatting sqref="K10">
    <cfRule type="expression" dxfId="3380" priority="804">
      <formula>$C10&lt;$E$3</formula>
    </cfRule>
  </conditionalFormatting>
  <conditionalFormatting sqref="K10">
    <cfRule type="expression" dxfId="3379" priority="800">
      <formula>$C10=$E$3</formula>
    </cfRule>
    <cfRule type="expression" dxfId="3378" priority="801">
      <formula>$C10&lt;$E$3</formula>
    </cfRule>
    <cfRule type="cellIs" dxfId="3377" priority="802" operator="equal">
      <formula>0</formula>
    </cfRule>
    <cfRule type="expression" dxfId="3376" priority="803">
      <formula>$C10&gt;$E$3</formula>
    </cfRule>
  </conditionalFormatting>
  <conditionalFormatting sqref="K10">
    <cfRule type="expression" dxfId="3375" priority="799">
      <formula>$C10&lt;$E$3</formula>
    </cfRule>
  </conditionalFormatting>
  <conditionalFormatting sqref="K10">
    <cfRule type="expression" dxfId="3374" priority="795">
      <formula>$C10=$E$3</formula>
    </cfRule>
    <cfRule type="expression" dxfId="3373" priority="796">
      <formula>$C10&lt;$E$3</formula>
    </cfRule>
    <cfRule type="cellIs" dxfId="3372" priority="797" operator="equal">
      <formula>0</formula>
    </cfRule>
    <cfRule type="expression" dxfId="3371" priority="798">
      <formula>$C10&gt;$E$3</formula>
    </cfRule>
  </conditionalFormatting>
  <conditionalFormatting sqref="K10">
    <cfRule type="expression" dxfId="3370" priority="794">
      <formula>$E10=""</formula>
    </cfRule>
  </conditionalFormatting>
  <conditionalFormatting sqref="K10">
    <cfRule type="expression" dxfId="3369" priority="793">
      <formula>$C10&lt;$E$3</formula>
    </cfRule>
  </conditionalFormatting>
  <conditionalFormatting sqref="K10">
    <cfRule type="expression" dxfId="3368" priority="792">
      <formula>$E10=""</formula>
    </cfRule>
  </conditionalFormatting>
  <conditionalFormatting sqref="K10">
    <cfRule type="expression" dxfId="3367" priority="791">
      <formula>$E10=""</formula>
    </cfRule>
  </conditionalFormatting>
  <conditionalFormatting sqref="K10">
    <cfRule type="expression" dxfId="3366" priority="790">
      <formula>$C10&lt;$E$3</formula>
    </cfRule>
  </conditionalFormatting>
  <conditionalFormatting sqref="K10">
    <cfRule type="expression" dxfId="3365" priority="789">
      <formula>$E10=""</formula>
    </cfRule>
  </conditionalFormatting>
  <conditionalFormatting sqref="K10">
    <cfRule type="expression" dxfId="3364" priority="788">
      <formula>$C10&lt;$E$3</formula>
    </cfRule>
  </conditionalFormatting>
  <conditionalFormatting sqref="K10">
    <cfRule type="expression" dxfId="3363" priority="787">
      <formula>$E10=""</formula>
    </cfRule>
  </conditionalFormatting>
  <conditionalFormatting sqref="K10">
    <cfRule type="expression" dxfId="3362" priority="786">
      <formula>$C10&lt;$E$3</formula>
    </cfRule>
  </conditionalFormatting>
  <conditionalFormatting sqref="K10">
    <cfRule type="expression" dxfId="3361" priority="785">
      <formula>$E10=""</formula>
    </cfRule>
  </conditionalFormatting>
  <conditionalFormatting sqref="K5:K9">
    <cfRule type="expression" dxfId="3360" priority="784">
      <formula>$C5&lt;$E$3</formula>
    </cfRule>
  </conditionalFormatting>
  <conditionalFormatting sqref="K5:K9">
    <cfRule type="expression" dxfId="3359" priority="780">
      <formula>$C5=$E$3</formula>
    </cfRule>
    <cfRule type="expression" dxfId="3358" priority="781">
      <formula>$C5&lt;$E$3</formula>
    </cfRule>
    <cfRule type="cellIs" dxfId="3357" priority="782" operator="equal">
      <formula>0</formula>
    </cfRule>
    <cfRule type="expression" dxfId="3356" priority="783">
      <formula>$C5&gt;$E$3</formula>
    </cfRule>
  </conditionalFormatting>
  <conditionalFormatting sqref="K5:K9">
    <cfRule type="expression" dxfId="3355" priority="779">
      <formula>$C5&lt;$E$3</formula>
    </cfRule>
  </conditionalFormatting>
  <conditionalFormatting sqref="K5:K9">
    <cfRule type="expression" dxfId="3354" priority="775">
      <formula>$C5=$E$3</formula>
    </cfRule>
    <cfRule type="expression" dxfId="3353" priority="776">
      <formula>$C5&lt;$E$3</formula>
    </cfRule>
    <cfRule type="cellIs" dxfId="3352" priority="777" operator="equal">
      <formula>0</formula>
    </cfRule>
    <cfRule type="expression" dxfId="3351" priority="778">
      <formula>$C5&gt;$E$3</formula>
    </cfRule>
  </conditionalFormatting>
  <conditionalFormatting sqref="K5:K9">
    <cfRule type="expression" dxfId="3350" priority="774">
      <formula>$C5&lt;$E$3</formula>
    </cfRule>
  </conditionalFormatting>
  <conditionalFormatting sqref="K5:K9">
    <cfRule type="expression" dxfId="3349" priority="770">
      <formula>$C5=$E$3</formula>
    </cfRule>
    <cfRule type="expression" dxfId="3348" priority="771">
      <formula>$C5&lt;$E$3</formula>
    </cfRule>
    <cfRule type="cellIs" dxfId="3347" priority="772" operator="equal">
      <formula>0</formula>
    </cfRule>
    <cfRule type="expression" dxfId="3346" priority="773">
      <formula>$C5&gt;$E$3</formula>
    </cfRule>
  </conditionalFormatting>
  <conditionalFormatting sqref="K5:K9">
    <cfRule type="expression" dxfId="3345" priority="769">
      <formula>$C5&lt;$E$3</formula>
    </cfRule>
  </conditionalFormatting>
  <conditionalFormatting sqref="K5:K9">
    <cfRule type="expression" dxfId="3344" priority="765">
      <formula>$C5=$E$3</formula>
    </cfRule>
    <cfRule type="expression" dxfId="3343" priority="766">
      <formula>$C5&lt;$E$3</formula>
    </cfRule>
    <cfRule type="cellIs" dxfId="3342" priority="767" operator="equal">
      <formula>0</formula>
    </cfRule>
    <cfRule type="expression" dxfId="3341" priority="768">
      <formula>$C5&gt;$E$3</formula>
    </cfRule>
  </conditionalFormatting>
  <conditionalFormatting sqref="K5:K9">
    <cfRule type="expression" dxfId="3340" priority="764">
      <formula>$E5=""</formula>
    </cfRule>
  </conditionalFormatting>
  <conditionalFormatting sqref="K5:K9">
    <cfRule type="expression" dxfId="3339" priority="763">
      <formula>$C5&lt;$E$3</formula>
    </cfRule>
  </conditionalFormatting>
  <conditionalFormatting sqref="K5:K9">
    <cfRule type="expression" dxfId="3338" priority="762">
      <formula>$E5=""</formula>
    </cfRule>
  </conditionalFormatting>
  <conditionalFormatting sqref="K5:K9">
    <cfRule type="expression" dxfId="3337" priority="761">
      <formula>$E5=""</formula>
    </cfRule>
  </conditionalFormatting>
  <conditionalFormatting sqref="K5:K9">
    <cfRule type="expression" dxfId="3336" priority="760">
      <formula>$C5&lt;$E$3</formula>
    </cfRule>
  </conditionalFormatting>
  <conditionalFormatting sqref="K5:K9">
    <cfRule type="expression" dxfId="3335" priority="759">
      <formula>$E5=""</formula>
    </cfRule>
  </conditionalFormatting>
  <conditionalFormatting sqref="K5:K9">
    <cfRule type="expression" dxfId="3334" priority="758">
      <formula>$C5&lt;$E$3</formula>
    </cfRule>
  </conditionalFormatting>
  <conditionalFormatting sqref="K5:K9">
    <cfRule type="expression" dxfId="3333" priority="757">
      <formula>$E5=""</formula>
    </cfRule>
  </conditionalFormatting>
  <conditionalFormatting sqref="K5:K9">
    <cfRule type="expression" dxfId="3332" priority="756">
      <formula>$C5&lt;$E$3</formula>
    </cfRule>
  </conditionalFormatting>
  <conditionalFormatting sqref="K5:K9">
    <cfRule type="expression" dxfId="3331" priority="755">
      <formula>$E5=""</formula>
    </cfRule>
  </conditionalFormatting>
  <conditionalFormatting sqref="K5:K9">
    <cfRule type="expression" dxfId="3330" priority="754">
      <formula>$C5&lt;$E$3</formula>
    </cfRule>
  </conditionalFormatting>
  <conditionalFormatting sqref="K5:K9">
    <cfRule type="expression" dxfId="3329" priority="750">
      <formula>$C5=$E$3</formula>
    </cfRule>
    <cfRule type="expression" dxfId="3328" priority="751">
      <formula>$C5&lt;$E$3</formula>
    </cfRule>
    <cfRule type="cellIs" dxfId="3327" priority="752" operator="equal">
      <formula>0</formula>
    </cfRule>
    <cfRule type="expression" dxfId="3326" priority="753">
      <formula>$C5&gt;$E$3</formula>
    </cfRule>
  </conditionalFormatting>
  <conditionalFormatting sqref="K5:K9">
    <cfRule type="expression" dxfId="3325" priority="749">
      <formula>$C5&lt;$E$3</formula>
    </cfRule>
  </conditionalFormatting>
  <conditionalFormatting sqref="K5:K9">
    <cfRule type="expression" dxfId="3324" priority="745">
      <formula>$C5=$E$3</formula>
    </cfRule>
    <cfRule type="expression" dxfId="3323" priority="746">
      <formula>$C5&lt;$E$3</formula>
    </cfRule>
    <cfRule type="cellIs" dxfId="3322" priority="747" operator="equal">
      <formula>0</formula>
    </cfRule>
    <cfRule type="expression" dxfId="3321" priority="748">
      <formula>$C5&gt;$E$3</formula>
    </cfRule>
  </conditionalFormatting>
  <conditionalFormatting sqref="K5:K9">
    <cfRule type="expression" dxfId="3320" priority="744">
      <formula>$C5&lt;$E$3</formula>
    </cfRule>
  </conditionalFormatting>
  <conditionalFormatting sqref="K5:K9">
    <cfRule type="expression" dxfId="3319" priority="740">
      <formula>$C5=$E$3</formula>
    </cfRule>
    <cfRule type="expression" dxfId="3318" priority="741">
      <formula>$C5&lt;$E$3</formula>
    </cfRule>
    <cfRule type="cellIs" dxfId="3317" priority="742" operator="equal">
      <formula>0</formula>
    </cfRule>
    <cfRule type="expression" dxfId="3316" priority="743">
      <formula>$C5&gt;$E$3</formula>
    </cfRule>
  </conditionalFormatting>
  <conditionalFormatting sqref="K5:K9">
    <cfRule type="expression" dxfId="3315" priority="739">
      <formula>$C5&lt;$E$3</formula>
    </cfRule>
  </conditionalFormatting>
  <conditionalFormatting sqref="K5:K9">
    <cfRule type="expression" dxfId="3314" priority="735">
      <formula>$C5=$E$3</formula>
    </cfRule>
    <cfRule type="expression" dxfId="3313" priority="736">
      <formula>$C5&lt;$E$3</formula>
    </cfRule>
    <cfRule type="cellIs" dxfId="3312" priority="737" operator="equal">
      <formula>0</formula>
    </cfRule>
    <cfRule type="expression" dxfId="3311" priority="738">
      <formula>$C5&gt;$E$3</formula>
    </cfRule>
  </conditionalFormatting>
  <conditionalFormatting sqref="K5:K9">
    <cfRule type="expression" dxfId="3310" priority="734">
      <formula>$E5=""</formula>
    </cfRule>
  </conditionalFormatting>
  <conditionalFormatting sqref="K5:K9">
    <cfRule type="expression" dxfId="3309" priority="733">
      <formula>$C5&lt;$E$3</formula>
    </cfRule>
  </conditionalFormatting>
  <conditionalFormatting sqref="K5:K9">
    <cfRule type="expression" dxfId="3308" priority="732">
      <formula>$E5=""</formula>
    </cfRule>
  </conditionalFormatting>
  <conditionalFormatting sqref="K5:K9">
    <cfRule type="expression" dxfId="3307" priority="731">
      <formula>$E5=""</formula>
    </cfRule>
  </conditionalFormatting>
  <conditionalFormatting sqref="K5:K9">
    <cfRule type="expression" dxfId="3306" priority="730">
      <formula>$C5&lt;$E$3</formula>
    </cfRule>
  </conditionalFormatting>
  <conditionalFormatting sqref="K5:K9">
    <cfRule type="expression" dxfId="3305" priority="729">
      <formula>$E5=""</formula>
    </cfRule>
  </conditionalFormatting>
  <conditionalFormatting sqref="K5:K9">
    <cfRule type="expression" dxfId="3304" priority="728">
      <formula>$C5&lt;$E$3</formula>
    </cfRule>
  </conditionalFormatting>
  <conditionalFormatting sqref="K5:K9">
    <cfRule type="expression" dxfId="3303" priority="727">
      <formula>$E5=""</formula>
    </cfRule>
  </conditionalFormatting>
  <conditionalFormatting sqref="K5:K9">
    <cfRule type="expression" dxfId="3302" priority="726">
      <formula>$C5&lt;$E$3</formula>
    </cfRule>
  </conditionalFormatting>
  <conditionalFormatting sqref="K5:K9">
    <cfRule type="expression" dxfId="3301" priority="725">
      <formula>$E5=""</formula>
    </cfRule>
  </conditionalFormatting>
  <conditionalFormatting sqref="K5:K11">
    <cfRule type="expression" dxfId="3300" priority="723">
      <formula>$C5&lt;$E$3</formula>
    </cfRule>
  </conditionalFormatting>
  <conditionalFormatting sqref="K5:K11">
    <cfRule type="expression" dxfId="3299" priority="720">
      <formula>$C5=$E$3</formula>
    </cfRule>
    <cfRule type="expression" dxfId="3298" priority="721">
      <formula>$C5&lt;$E$3</formula>
    </cfRule>
    <cfRule type="cellIs" dxfId="3297" priority="722" operator="equal">
      <formula>0</formula>
    </cfRule>
    <cfRule type="expression" dxfId="3296" priority="724">
      <formula>$C5&gt;$E$3</formula>
    </cfRule>
  </conditionalFormatting>
  <conditionalFormatting sqref="K5:K11">
    <cfRule type="expression" dxfId="3295" priority="719">
      <formula>$E5=""</formula>
    </cfRule>
  </conditionalFormatting>
  <conditionalFormatting sqref="K5:K11">
    <cfRule type="expression" dxfId="3294" priority="718">
      <formula>$E5=""</formula>
    </cfRule>
  </conditionalFormatting>
  <conditionalFormatting sqref="K5:K11">
    <cfRule type="expression" dxfId="3293" priority="717">
      <formula>$E5=""</formula>
    </cfRule>
  </conditionalFormatting>
  <conditionalFormatting sqref="K50:K51">
    <cfRule type="expression" dxfId="3292" priority="715">
      <formula>$C50&lt;$E$3</formula>
    </cfRule>
  </conditionalFormatting>
  <conditionalFormatting sqref="K50:K51">
    <cfRule type="expression" dxfId="3291" priority="712">
      <formula>$C50=$E$3</formula>
    </cfRule>
    <cfRule type="expression" dxfId="3290" priority="713">
      <formula>$C50&lt;$E$3</formula>
    </cfRule>
    <cfRule type="cellIs" dxfId="3289" priority="714" operator="equal">
      <formula>0</formula>
    </cfRule>
    <cfRule type="expression" dxfId="3288" priority="716">
      <formula>$C50&gt;$E$3</formula>
    </cfRule>
  </conditionalFormatting>
  <conditionalFormatting sqref="K50:K51">
    <cfRule type="expression" dxfId="3287" priority="711">
      <formula>$E50=""</formula>
    </cfRule>
  </conditionalFormatting>
  <conditionalFormatting sqref="K50:K51">
    <cfRule type="expression" dxfId="3286" priority="710">
      <formula>$E50=""</formula>
    </cfRule>
  </conditionalFormatting>
  <conditionalFormatting sqref="K50:K51">
    <cfRule type="expression" dxfId="3285" priority="709">
      <formula>$E50=""</formula>
    </cfRule>
  </conditionalFormatting>
  <conditionalFormatting sqref="K50:K51">
    <cfRule type="cellIs" dxfId="3284" priority="708" stopIfTrue="1" operator="lessThan">
      <formula>0</formula>
    </cfRule>
  </conditionalFormatting>
  <conditionalFormatting sqref="K50:K51">
    <cfRule type="expression" dxfId="3283" priority="706">
      <formula>$C50&lt;$E$3</formula>
    </cfRule>
  </conditionalFormatting>
  <conditionalFormatting sqref="K50:K51">
    <cfRule type="expression" dxfId="3282" priority="703">
      <formula>$C50=$E$3</formula>
    </cfRule>
    <cfRule type="expression" dxfId="3281" priority="704">
      <formula>$C50&lt;$E$3</formula>
    </cfRule>
    <cfRule type="cellIs" dxfId="3280" priority="705" operator="equal">
      <formula>0</formula>
    </cfRule>
    <cfRule type="expression" dxfId="3279" priority="707">
      <formula>$C50&gt;$E$3</formula>
    </cfRule>
  </conditionalFormatting>
  <conditionalFormatting sqref="K50:K51">
    <cfRule type="expression" dxfId="3278" priority="702">
      <formula>$E50=""</formula>
    </cfRule>
  </conditionalFormatting>
  <conditionalFormatting sqref="K50:K51">
    <cfRule type="expression" dxfId="3277" priority="701">
      <formula>$E50=""</formula>
    </cfRule>
  </conditionalFormatting>
  <conditionalFormatting sqref="K50:K51">
    <cfRule type="expression" dxfId="3276" priority="700">
      <formula>$E50=""</formula>
    </cfRule>
  </conditionalFormatting>
  <conditionalFormatting sqref="K50:K51">
    <cfRule type="cellIs" dxfId="3275" priority="699" stopIfTrue="1" operator="lessThan">
      <formula>0</formula>
    </cfRule>
  </conditionalFormatting>
  <conditionalFormatting sqref="K50:K51">
    <cfRule type="cellIs" dxfId="3274" priority="698" stopIfTrue="1" operator="lessThan">
      <formula>0</formula>
    </cfRule>
  </conditionalFormatting>
  <conditionalFormatting sqref="K50:K51">
    <cfRule type="cellIs" dxfId="3273" priority="697" stopIfTrue="1" operator="lessThan">
      <formula>0</formula>
    </cfRule>
  </conditionalFormatting>
  <conditionalFormatting sqref="K50:K51">
    <cfRule type="cellIs" dxfId="3272" priority="696" stopIfTrue="1" operator="lessThan">
      <formula>0</formula>
    </cfRule>
  </conditionalFormatting>
  <conditionalFormatting sqref="K50:K51">
    <cfRule type="expression" dxfId="3271" priority="695">
      <formula>$C50&lt;$E$3</formula>
    </cfRule>
  </conditionalFormatting>
  <conditionalFormatting sqref="K50:K51">
    <cfRule type="expression" dxfId="3270" priority="691">
      <formula>$C50=$E$3</formula>
    </cfRule>
    <cfRule type="expression" dxfId="3269" priority="692">
      <formula>$C50&lt;$E$3</formula>
    </cfRule>
    <cfRule type="cellIs" dxfId="3268" priority="693" operator="equal">
      <formula>0</formula>
    </cfRule>
    <cfRule type="expression" dxfId="3267" priority="694">
      <formula>$C50&gt;$E$3</formula>
    </cfRule>
  </conditionalFormatting>
  <conditionalFormatting sqref="K50:K51">
    <cfRule type="expression" dxfId="3266" priority="690">
      <formula>$C50&lt;$E$3</formula>
    </cfRule>
  </conditionalFormatting>
  <conditionalFormatting sqref="K50:K51">
    <cfRule type="expression" dxfId="3265" priority="686">
      <formula>$C50=$E$3</formula>
    </cfRule>
    <cfRule type="expression" dxfId="3264" priority="687">
      <formula>$C50&lt;$E$3</formula>
    </cfRule>
    <cfRule type="cellIs" dxfId="3263" priority="688" operator="equal">
      <formula>0</formula>
    </cfRule>
    <cfRule type="expression" dxfId="3262" priority="689">
      <formula>$C50&gt;$E$3</formula>
    </cfRule>
  </conditionalFormatting>
  <conditionalFormatting sqref="K50:K51">
    <cfRule type="expression" dxfId="3261" priority="685">
      <formula>$C50&lt;$E$3</formula>
    </cfRule>
  </conditionalFormatting>
  <conditionalFormatting sqref="K50:K51">
    <cfRule type="expression" dxfId="3260" priority="681">
      <formula>$C50=$E$3</formula>
    </cfRule>
    <cfRule type="expression" dxfId="3259" priority="682">
      <formula>$C50&lt;$E$3</formula>
    </cfRule>
    <cfRule type="cellIs" dxfId="3258" priority="683" operator="equal">
      <formula>0</formula>
    </cfRule>
    <cfRule type="expression" dxfId="3257" priority="684">
      <formula>$C50&gt;$E$3</formula>
    </cfRule>
  </conditionalFormatting>
  <conditionalFormatting sqref="K50:K51">
    <cfRule type="expression" dxfId="3256" priority="680">
      <formula>$C50&lt;$E$3</formula>
    </cfRule>
  </conditionalFormatting>
  <conditionalFormatting sqref="K50:K51">
    <cfRule type="expression" dxfId="3255" priority="676">
      <formula>$C50=$E$3</formula>
    </cfRule>
    <cfRule type="expression" dxfId="3254" priority="677">
      <formula>$C50&lt;$E$3</formula>
    </cfRule>
    <cfRule type="cellIs" dxfId="3253" priority="678" operator="equal">
      <formula>0</formula>
    </cfRule>
    <cfRule type="expression" dxfId="3252" priority="679">
      <formula>$C50&gt;$E$3</formula>
    </cfRule>
  </conditionalFormatting>
  <conditionalFormatting sqref="K50:K51">
    <cfRule type="expression" dxfId="3251" priority="675">
      <formula>$E50=""</formula>
    </cfRule>
  </conditionalFormatting>
  <conditionalFormatting sqref="K50:K51">
    <cfRule type="expression" dxfId="3250" priority="674">
      <formula>$C50&lt;$E$3</formula>
    </cfRule>
  </conditionalFormatting>
  <conditionalFormatting sqref="K50:K51">
    <cfRule type="expression" dxfId="3249" priority="673">
      <formula>$E50=""</formula>
    </cfRule>
  </conditionalFormatting>
  <conditionalFormatting sqref="K50:K51">
    <cfRule type="expression" dxfId="3248" priority="672">
      <formula>$E50=""</formula>
    </cfRule>
  </conditionalFormatting>
  <conditionalFormatting sqref="K50:K51">
    <cfRule type="expression" dxfId="3247" priority="671">
      <formula>$C50&lt;$E$3</formula>
    </cfRule>
  </conditionalFormatting>
  <conditionalFormatting sqref="K50:K51">
    <cfRule type="expression" dxfId="3246" priority="670">
      <formula>$E50=""</formula>
    </cfRule>
  </conditionalFormatting>
  <conditionalFormatting sqref="K50:K51">
    <cfRule type="expression" dxfId="3245" priority="669">
      <formula>$C50&lt;$E$3</formula>
    </cfRule>
  </conditionalFormatting>
  <conditionalFormatting sqref="K50:K51">
    <cfRule type="expression" dxfId="3244" priority="668">
      <formula>$E50=""</formula>
    </cfRule>
  </conditionalFormatting>
  <conditionalFormatting sqref="K50:K51">
    <cfRule type="expression" dxfId="3243" priority="667">
      <formula>$C50&lt;$E$3</formula>
    </cfRule>
  </conditionalFormatting>
  <conditionalFormatting sqref="K50:K51">
    <cfRule type="expression" dxfId="3242" priority="666">
      <formula>$E50=""</formula>
    </cfRule>
  </conditionalFormatting>
  <conditionalFormatting sqref="K50:K51">
    <cfRule type="expression" dxfId="3241" priority="665">
      <formula>$C50&lt;$E$3</formula>
    </cfRule>
  </conditionalFormatting>
  <conditionalFormatting sqref="K50:K51">
    <cfRule type="expression" dxfId="3240" priority="661">
      <formula>$C50=$E$3</formula>
    </cfRule>
    <cfRule type="expression" dxfId="3239" priority="662">
      <formula>$C50&lt;$E$3</formula>
    </cfRule>
    <cfRule type="cellIs" dxfId="3238" priority="663" operator="equal">
      <formula>0</formula>
    </cfRule>
    <cfRule type="expression" dxfId="3237" priority="664">
      <formula>$C50&gt;$E$3</formula>
    </cfRule>
  </conditionalFormatting>
  <conditionalFormatting sqref="K50:K51">
    <cfRule type="expression" dxfId="3236" priority="660">
      <formula>$C50&lt;$E$3</formula>
    </cfRule>
  </conditionalFormatting>
  <conditionalFormatting sqref="K50:K51">
    <cfRule type="expression" dxfId="3235" priority="656">
      <formula>$C50=$E$3</formula>
    </cfRule>
    <cfRule type="expression" dxfId="3234" priority="657">
      <formula>$C50&lt;$E$3</formula>
    </cfRule>
    <cfRule type="cellIs" dxfId="3233" priority="658" operator="equal">
      <formula>0</formula>
    </cfRule>
    <cfRule type="expression" dxfId="3232" priority="659">
      <formula>$C50&gt;$E$3</formula>
    </cfRule>
  </conditionalFormatting>
  <conditionalFormatting sqref="K50:K51">
    <cfRule type="expression" dxfId="3231" priority="655">
      <formula>$C50&lt;$E$3</formula>
    </cfRule>
  </conditionalFormatting>
  <conditionalFormatting sqref="K50:K51">
    <cfRule type="expression" dxfId="3230" priority="651">
      <formula>$C50=$E$3</formula>
    </cfRule>
    <cfRule type="expression" dxfId="3229" priority="652">
      <formula>$C50&lt;$E$3</formula>
    </cfRule>
    <cfRule type="cellIs" dxfId="3228" priority="653" operator="equal">
      <formula>0</formula>
    </cfRule>
    <cfRule type="expression" dxfId="3227" priority="654">
      <formula>$C50&gt;$E$3</formula>
    </cfRule>
  </conditionalFormatting>
  <conditionalFormatting sqref="K50:K51">
    <cfRule type="expression" dxfId="3226" priority="650">
      <formula>$C50&lt;$E$3</formula>
    </cfRule>
  </conditionalFormatting>
  <conditionalFormatting sqref="K50:K51">
    <cfRule type="expression" dxfId="3225" priority="646">
      <formula>$C50=$E$3</formula>
    </cfRule>
    <cfRule type="expression" dxfId="3224" priority="647">
      <formula>$C50&lt;$E$3</formula>
    </cfRule>
    <cfRule type="cellIs" dxfId="3223" priority="648" operator="equal">
      <formula>0</formula>
    </cfRule>
    <cfRule type="expression" dxfId="3222" priority="649">
      <formula>$C50&gt;$E$3</formula>
    </cfRule>
  </conditionalFormatting>
  <conditionalFormatting sqref="K50:K51">
    <cfRule type="expression" dxfId="3221" priority="645">
      <formula>$E50=""</formula>
    </cfRule>
  </conditionalFormatting>
  <conditionalFormatting sqref="K50:K51">
    <cfRule type="expression" dxfId="3220" priority="644">
      <formula>$C50&lt;$E$3</formula>
    </cfRule>
  </conditionalFormatting>
  <conditionalFormatting sqref="K50:K51">
    <cfRule type="expression" dxfId="3219" priority="643">
      <formula>$E50=""</formula>
    </cfRule>
  </conditionalFormatting>
  <conditionalFormatting sqref="K50:K51">
    <cfRule type="expression" dxfId="3218" priority="642">
      <formula>$E50=""</formula>
    </cfRule>
  </conditionalFormatting>
  <conditionalFormatting sqref="K50:K51">
    <cfRule type="expression" dxfId="3217" priority="641">
      <formula>$C50&lt;$E$3</formula>
    </cfRule>
  </conditionalFormatting>
  <conditionalFormatting sqref="K50:K51">
    <cfRule type="expression" dxfId="3216" priority="640">
      <formula>$E50=""</formula>
    </cfRule>
  </conditionalFormatting>
  <conditionalFormatting sqref="K50:K51">
    <cfRule type="expression" dxfId="3215" priority="638">
      <formula>$E50=""</formula>
    </cfRule>
  </conditionalFormatting>
  <conditionalFormatting sqref="K50:K51">
    <cfRule type="expression" dxfId="3214" priority="637">
      <formula>$C50&lt;$E$3</formula>
    </cfRule>
  </conditionalFormatting>
  <conditionalFormatting sqref="K50:K51">
    <cfRule type="expression" dxfId="3213" priority="636">
      <formula>$E50=""</formula>
    </cfRule>
  </conditionalFormatting>
  <conditionalFormatting sqref="K50:K51">
    <cfRule type="expression" dxfId="3212" priority="634">
      <formula>$C50&lt;$E$3</formula>
    </cfRule>
  </conditionalFormatting>
  <conditionalFormatting sqref="K50:K51">
    <cfRule type="expression" dxfId="3211" priority="631">
      <formula>$C50=$E$3</formula>
    </cfRule>
    <cfRule type="expression" dxfId="3210" priority="632">
      <formula>$C50&lt;$E$3</formula>
    </cfRule>
    <cfRule type="cellIs" dxfId="3209" priority="633" operator="equal">
      <formula>0</formula>
    </cfRule>
    <cfRule type="expression" dxfId="3208" priority="635">
      <formula>$C50&gt;$E$3</formula>
    </cfRule>
  </conditionalFormatting>
  <conditionalFormatting sqref="K50:K51">
    <cfRule type="expression" dxfId="3207" priority="630">
      <formula>$E50=""</formula>
    </cfRule>
  </conditionalFormatting>
  <conditionalFormatting sqref="K50:K51">
    <cfRule type="expression" dxfId="3206" priority="629">
      <formula>$E50=""</formula>
    </cfRule>
  </conditionalFormatting>
  <conditionalFormatting sqref="K50:K51">
    <cfRule type="expression" dxfId="3205" priority="628">
      <formula>$E50=""</formula>
    </cfRule>
  </conditionalFormatting>
  <conditionalFormatting sqref="N5:N6 N9">
    <cfRule type="cellIs" dxfId="3204" priority="627" stopIfTrue="1" operator="lessThan">
      <formula>0</formula>
    </cfRule>
  </conditionalFormatting>
  <conditionalFormatting sqref="J14:J20 L14:M20 J41:J47 L32:M38 L41:M47 J23:J29 J32:J38 L23:M29">
    <cfRule type="cellIs" dxfId="3203" priority="626" stopIfTrue="1" operator="lessThan">
      <formula>0</formula>
    </cfRule>
  </conditionalFormatting>
  <conditionalFormatting sqref="J14:J20 J41:J47 L14:M20 L32:M38 L41:M47 J23:J29 J32:J38 L23:M29">
    <cfRule type="expression" dxfId="3202" priority="624">
      <formula>$C14&lt;$E$3</formula>
    </cfRule>
  </conditionalFormatting>
  <conditionalFormatting sqref="J14:J20 J41:J47 L14:M20 L32:M38 L41:M47 J23:J29 J32:J38 L23:M29">
    <cfRule type="expression" dxfId="3201" priority="621">
      <formula>$C14=$E$3</formula>
    </cfRule>
    <cfRule type="expression" dxfId="3200" priority="622">
      <formula>$C14&lt;$E$3</formula>
    </cfRule>
    <cfRule type="cellIs" dxfId="3199" priority="623" operator="equal">
      <formula>0</formula>
    </cfRule>
    <cfRule type="expression" dxfId="3198" priority="625">
      <formula>$C14&gt;$E$3</formula>
    </cfRule>
  </conditionalFormatting>
  <conditionalFormatting sqref="J14:J20 J41:J47 L14:M20 L32:M38 L41:M47 J23:J29 J32:J38 L23:M29">
    <cfRule type="expression" dxfId="3197" priority="620">
      <formula>$E14=""</formula>
    </cfRule>
  </conditionalFormatting>
  <conditionalFormatting sqref="J41:J47 J14:J20 L14:M20 L32:M38 L41:M47 J23:J29 J32:J38 L23:M29">
    <cfRule type="expression" dxfId="3196" priority="619">
      <formula>$E14=""</formula>
    </cfRule>
  </conditionalFormatting>
  <conditionalFormatting sqref="J41:J47 J14:J20 L14:M20 L32:M38 L41:M47 J23:J29 J32:J38 L23:M29">
    <cfRule type="expression" dxfId="3195" priority="618">
      <formula>$E14=""</formula>
    </cfRule>
  </conditionalFormatting>
  <conditionalFormatting sqref="M14:M20 M32:M38 M41:M47 M23:M29">
    <cfRule type="expression" dxfId="3194" priority="617">
      <formula>$C14&lt;$E$3</formula>
    </cfRule>
  </conditionalFormatting>
  <conditionalFormatting sqref="M14:M20 M32:M38 M41:M47 M23:M29">
    <cfRule type="expression" dxfId="3193" priority="613">
      <formula>$C14=$E$3</formula>
    </cfRule>
    <cfRule type="expression" dxfId="3192" priority="614">
      <formula>$C14&lt;$E$3</formula>
    </cfRule>
    <cfRule type="cellIs" dxfId="3191" priority="615" operator="equal">
      <formula>0</formula>
    </cfRule>
    <cfRule type="expression" dxfId="3190" priority="616">
      <formula>$C14&gt;$E$3</formula>
    </cfRule>
  </conditionalFormatting>
  <conditionalFormatting sqref="M14:M20 M32:M38 M41:M47 M23:M29">
    <cfRule type="expression" dxfId="3189" priority="612">
      <formula>$C14&lt;$E$3</formula>
    </cfRule>
  </conditionalFormatting>
  <conditionalFormatting sqref="M14:M20 M32:M38 M41:M47 M23:M29">
    <cfRule type="expression" dxfId="3188" priority="608">
      <formula>$C14=$E$3</formula>
    </cfRule>
    <cfRule type="expression" dxfId="3187" priority="609">
      <formula>$C14&lt;$E$3</formula>
    </cfRule>
    <cfRule type="cellIs" dxfId="3186" priority="610" operator="equal">
      <formula>0</formula>
    </cfRule>
    <cfRule type="expression" dxfId="3185" priority="611">
      <formula>$C14&gt;$E$3</formula>
    </cfRule>
  </conditionalFormatting>
  <conditionalFormatting sqref="M14:M20 M32:M38 M41:M47 M23:M29">
    <cfRule type="expression" dxfId="3184" priority="607">
      <formula>$C14&lt;$E$3</formula>
    </cfRule>
  </conditionalFormatting>
  <conditionalFormatting sqref="M14:M20 M32:M38 M41:M47 M23:M29">
    <cfRule type="expression" dxfId="3183" priority="603">
      <formula>$C14=$E$3</formula>
    </cfRule>
    <cfRule type="expression" dxfId="3182" priority="604">
      <formula>$C14&lt;$E$3</formula>
    </cfRule>
    <cfRule type="cellIs" dxfId="3181" priority="605" operator="equal">
      <formula>0</formula>
    </cfRule>
    <cfRule type="expression" dxfId="3180" priority="606">
      <formula>$C14&gt;$E$3</formula>
    </cfRule>
  </conditionalFormatting>
  <conditionalFormatting sqref="M14:M20 M32:M38 M41:M47 M23:M29">
    <cfRule type="expression" dxfId="3179" priority="602">
      <formula>$C14&lt;$E$3</formula>
    </cfRule>
  </conditionalFormatting>
  <conditionalFormatting sqref="M14:M20 M32:M38 M41:M47 M23:M29">
    <cfRule type="expression" dxfId="3178" priority="598">
      <formula>$C14=$E$3</formula>
    </cfRule>
    <cfRule type="expression" dxfId="3177" priority="599">
      <formula>$C14&lt;$E$3</formula>
    </cfRule>
    <cfRule type="cellIs" dxfId="3176" priority="600" operator="equal">
      <formula>0</formula>
    </cfRule>
    <cfRule type="expression" dxfId="3175" priority="601">
      <formula>$C14&gt;$E$3</formula>
    </cfRule>
  </conditionalFormatting>
  <conditionalFormatting sqref="M14:M20 M32:M38 M41:M47 M23:M29">
    <cfRule type="expression" dxfId="3174" priority="597">
      <formula>$E14=""</formula>
    </cfRule>
  </conditionalFormatting>
  <conditionalFormatting sqref="M14:M20 M32:M38 M41:M47 M23:M29">
    <cfRule type="expression" dxfId="3173" priority="596">
      <formula>$C14&lt;$E$3</formula>
    </cfRule>
  </conditionalFormatting>
  <conditionalFormatting sqref="M14:M20 M32:M38 M41:M47 M23:M29">
    <cfRule type="expression" dxfId="3172" priority="595">
      <formula>$E14=""</formula>
    </cfRule>
  </conditionalFormatting>
  <conditionalFormatting sqref="M32:M38 M41:M47 M14:M20 M23:M29">
    <cfRule type="expression" dxfId="3171" priority="594">
      <formula>$E14=""</formula>
    </cfRule>
  </conditionalFormatting>
  <conditionalFormatting sqref="M14:M20 M32:M38 M41:M47 M23:M29">
    <cfRule type="expression" dxfId="3170" priority="593">
      <formula>$C14&lt;$E$3</formula>
    </cfRule>
  </conditionalFormatting>
  <conditionalFormatting sqref="M14:M20 M32:M38 M41:M47 M23:M29">
    <cfRule type="expression" dxfId="3169" priority="592">
      <formula>$E14=""</formula>
    </cfRule>
  </conditionalFormatting>
  <conditionalFormatting sqref="M14:M20 M32:M38 M41:M47 M23:M29">
    <cfRule type="expression" dxfId="3168" priority="591">
      <formula>$C14&lt;$E$3</formula>
    </cfRule>
  </conditionalFormatting>
  <conditionalFormatting sqref="M14:M20 M32:M38 M41:M47 M23:M29">
    <cfRule type="expression" dxfId="3167" priority="590">
      <formula>$E14=""</formula>
    </cfRule>
  </conditionalFormatting>
  <conditionalFormatting sqref="M14:M20 M32:M38 M41:M47 M23:M29">
    <cfRule type="expression" dxfId="3166" priority="588">
      <formula>$E14=""</formula>
    </cfRule>
  </conditionalFormatting>
  <conditionalFormatting sqref="M14:M20 M32:M38 M41:M47 M23:M29">
    <cfRule type="expression" dxfId="3165" priority="583">
      <formula>$C14=$E$3</formula>
    </cfRule>
    <cfRule type="expression" dxfId="3164" priority="584">
      <formula>$C14&lt;$E$3</formula>
    </cfRule>
    <cfRule type="cellIs" dxfId="3163" priority="585" operator="equal">
      <formula>0</formula>
    </cfRule>
    <cfRule type="expression" dxfId="3162" priority="586">
      <formula>$C14&gt;$E$3</formula>
    </cfRule>
  </conditionalFormatting>
  <conditionalFormatting sqref="M14:M20 M32:M38 M41:M47 M23:M29">
    <cfRule type="expression" dxfId="3161" priority="582">
      <formula>$C14&lt;$E$3</formula>
    </cfRule>
  </conditionalFormatting>
  <conditionalFormatting sqref="M14:M20 M32:M38 M41:M47 M23:M29">
    <cfRule type="expression" dxfId="3160" priority="578">
      <formula>$C14=$E$3</formula>
    </cfRule>
    <cfRule type="expression" dxfId="3159" priority="579">
      <formula>$C14&lt;$E$3</formula>
    </cfRule>
    <cfRule type="cellIs" dxfId="3158" priority="580" operator="equal">
      <formula>0</formula>
    </cfRule>
    <cfRule type="expression" dxfId="3157" priority="581">
      <formula>$C14&gt;$E$3</formula>
    </cfRule>
  </conditionalFormatting>
  <conditionalFormatting sqref="M14:M20 M32:M38 M41:M47 M23:M29">
    <cfRule type="expression" dxfId="3156" priority="577">
      <formula>$C14&lt;$E$3</formula>
    </cfRule>
  </conditionalFormatting>
  <conditionalFormatting sqref="M14:M20 M32:M38 M41:M47 M23:M29">
    <cfRule type="expression" dxfId="3155" priority="573">
      <formula>$C14=$E$3</formula>
    </cfRule>
    <cfRule type="expression" dxfId="3154" priority="574">
      <formula>$C14&lt;$E$3</formula>
    </cfRule>
    <cfRule type="cellIs" dxfId="3153" priority="575" operator="equal">
      <formula>0</formula>
    </cfRule>
    <cfRule type="expression" dxfId="3152" priority="576">
      <formula>$C14&gt;$E$3</formula>
    </cfRule>
  </conditionalFormatting>
  <conditionalFormatting sqref="M14:M20 M32:M38 M41:M47 M23:M29">
    <cfRule type="expression" dxfId="3151" priority="572">
      <formula>$C14&lt;$E$3</formula>
    </cfRule>
  </conditionalFormatting>
  <conditionalFormatting sqref="M14:M20 M32:M38 M41:M47 M23:M29">
    <cfRule type="expression" dxfId="3150" priority="568">
      <formula>$C14=$E$3</formula>
    </cfRule>
    <cfRule type="expression" dxfId="3149" priority="569">
      <formula>$C14&lt;$E$3</formula>
    </cfRule>
    <cfRule type="cellIs" dxfId="3148" priority="570" operator="equal">
      <formula>0</formula>
    </cfRule>
    <cfRule type="expression" dxfId="3147" priority="571">
      <formula>$C14&gt;$E$3</formula>
    </cfRule>
  </conditionalFormatting>
  <conditionalFormatting sqref="M14:M20 M32:M38 M41:M47 M23:M29">
    <cfRule type="expression" dxfId="3146" priority="567">
      <formula>$E14=""</formula>
    </cfRule>
  </conditionalFormatting>
  <conditionalFormatting sqref="M14:M20 M32:M38 M41:M47 M23:M29">
    <cfRule type="expression" dxfId="3145" priority="566">
      <formula>$C14&lt;$E$3</formula>
    </cfRule>
  </conditionalFormatting>
  <conditionalFormatting sqref="M14:M20 M32:M38 M41:M47 M23:M29">
    <cfRule type="expression" dxfId="3144" priority="565">
      <formula>$E14=""</formula>
    </cfRule>
  </conditionalFormatting>
  <conditionalFormatting sqref="M32:M38 M41:M47 M14:M20 M23:M29">
    <cfRule type="expression" dxfId="3143" priority="564">
      <formula>$E14=""</formula>
    </cfRule>
  </conditionalFormatting>
  <conditionalFormatting sqref="M14:M20 M32:M38 M41:M47 M23:M29">
    <cfRule type="expression" dxfId="3142" priority="563">
      <formula>$C14&lt;$E$3</formula>
    </cfRule>
  </conditionalFormatting>
  <conditionalFormatting sqref="M14:M20 M32:M38 M41:M47 M23:M29">
    <cfRule type="expression" dxfId="3141" priority="562">
      <formula>$E14=""</formula>
    </cfRule>
  </conditionalFormatting>
  <conditionalFormatting sqref="M14:M20 M32:M38 M41:M47 M23:M29">
    <cfRule type="expression" dxfId="3140" priority="561">
      <formula>$C14&lt;$E$3</formula>
    </cfRule>
  </conditionalFormatting>
  <conditionalFormatting sqref="M14:M20 M32:M38 M41:M47 M23:M29">
    <cfRule type="expression" dxfId="3139" priority="560">
      <formula>$E14=""</formula>
    </cfRule>
  </conditionalFormatting>
  <conditionalFormatting sqref="M14:M20 M32:M38 M41:M47 M23:M29">
    <cfRule type="expression" dxfId="3138" priority="558">
      <formula>$E14=""</formula>
    </cfRule>
  </conditionalFormatting>
  <conditionalFormatting sqref="K37">
    <cfRule type="expression" dxfId="3137" priority="263">
      <formula>$C37&lt;$E$3</formula>
    </cfRule>
  </conditionalFormatting>
  <conditionalFormatting sqref="K37">
    <cfRule type="expression" dxfId="3136" priority="259">
      <formula>$C37=$E$3</formula>
    </cfRule>
    <cfRule type="expression" dxfId="3135" priority="260">
      <formula>$C37&lt;$E$3</formula>
    </cfRule>
    <cfRule type="cellIs" dxfId="3134" priority="261" operator="equal">
      <formula>0</formula>
    </cfRule>
    <cfRule type="expression" dxfId="3133" priority="262">
      <formula>$C37&gt;$E$3</formula>
    </cfRule>
  </conditionalFormatting>
  <conditionalFormatting sqref="K37">
    <cfRule type="expression" dxfId="3132" priority="258">
      <formula>$C37&lt;$E$3</formula>
    </cfRule>
  </conditionalFormatting>
  <conditionalFormatting sqref="K37">
    <cfRule type="expression" dxfId="3131" priority="254">
      <formula>$C37=$E$3</formula>
    </cfRule>
    <cfRule type="expression" dxfId="3130" priority="255">
      <formula>$C37&lt;$E$3</formula>
    </cfRule>
    <cfRule type="cellIs" dxfId="3129" priority="256" operator="equal">
      <formula>0</formula>
    </cfRule>
    <cfRule type="expression" dxfId="3128" priority="257">
      <formula>$C37&gt;$E$3</formula>
    </cfRule>
  </conditionalFormatting>
  <conditionalFormatting sqref="K37">
    <cfRule type="expression" dxfId="3127" priority="233">
      <formula>$C37&lt;$E$3</formula>
    </cfRule>
  </conditionalFormatting>
  <conditionalFormatting sqref="K37">
    <cfRule type="expression" dxfId="3126" priority="229">
      <formula>$C37=$E$3</formula>
    </cfRule>
    <cfRule type="expression" dxfId="3125" priority="230">
      <formula>$C37&lt;$E$3</formula>
    </cfRule>
    <cfRule type="cellIs" dxfId="3124" priority="231" operator="equal">
      <formula>0</formula>
    </cfRule>
    <cfRule type="expression" dxfId="3123" priority="232">
      <formula>$C37&gt;$E$3</formula>
    </cfRule>
  </conditionalFormatting>
  <conditionalFormatting sqref="K37">
    <cfRule type="expression" dxfId="3122" priority="228">
      <formula>$C37&lt;$E$3</formula>
    </cfRule>
  </conditionalFormatting>
  <conditionalFormatting sqref="K37">
    <cfRule type="expression" dxfId="3121" priority="224">
      <formula>$C37=$E$3</formula>
    </cfRule>
    <cfRule type="expression" dxfId="3120" priority="225">
      <formula>$C37&lt;$E$3</formula>
    </cfRule>
    <cfRule type="cellIs" dxfId="3119" priority="226" operator="equal">
      <formula>0</formula>
    </cfRule>
    <cfRule type="expression" dxfId="3118" priority="227">
      <formula>$C37&gt;$E$3</formula>
    </cfRule>
  </conditionalFormatting>
  <conditionalFormatting sqref="K32:K36">
    <cfRule type="expression" dxfId="3117" priority="203">
      <formula>$C32&lt;$E$3</formula>
    </cfRule>
  </conditionalFormatting>
  <conditionalFormatting sqref="K32:K36">
    <cfRule type="expression" dxfId="3116" priority="199">
      <formula>$C32=$E$3</formula>
    </cfRule>
    <cfRule type="expression" dxfId="3115" priority="200">
      <formula>$C32&lt;$E$3</formula>
    </cfRule>
    <cfRule type="cellIs" dxfId="3114" priority="201" operator="equal">
      <formula>0</formula>
    </cfRule>
    <cfRule type="expression" dxfId="3113" priority="202">
      <formula>$C32&gt;$E$3</formula>
    </cfRule>
  </conditionalFormatting>
  <conditionalFormatting sqref="K32:K36">
    <cfRule type="expression" dxfId="3112" priority="198">
      <formula>$C32&lt;$E$3</formula>
    </cfRule>
  </conditionalFormatting>
  <conditionalFormatting sqref="K32:K36">
    <cfRule type="expression" dxfId="3111" priority="194">
      <formula>$C32=$E$3</formula>
    </cfRule>
    <cfRule type="expression" dxfId="3110" priority="195">
      <formula>$C32&lt;$E$3</formula>
    </cfRule>
    <cfRule type="cellIs" dxfId="3109" priority="196" operator="equal">
      <formula>0</formula>
    </cfRule>
    <cfRule type="expression" dxfId="3108" priority="197">
      <formula>$C32&gt;$E$3</formula>
    </cfRule>
  </conditionalFormatting>
  <conditionalFormatting sqref="J39:N40">
    <cfRule type="expression" dxfId="3107" priority="557">
      <formula>$L$40=0</formula>
    </cfRule>
  </conditionalFormatting>
  <conditionalFormatting sqref="K14:K20">
    <cfRule type="cellIs" dxfId="3106" priority="556" stopIfTrue="1" operator="lessThan">
      <formula>0</formula>
    </cfRule>
  </conditionalFormatting>
  <conditionalFormatting sqref="K14:K20">
    <cfRule type="expression" dxfId="3105" priority="554">
      <formula>$C14&lt;$E$3</formula>
    </cfRule>
  </conditionalFormatting>
  <conditionalFormatting sqref="K14:K20">
    <cfRule type="expression" dxfId="3104" priority="551">
      <formula>$C14=$E$3</formula>
    </cfRule>
    <cfRule type="expression" dxfId="3103" priority="552">
      <formula>$C14&lt;$E$3</formula>
    </cfRule>
    <cfRule type="cellIs" dxfId="3102" priority="553" operator="equal">
      <formula>0</formula>
    </cfRule>
    <cfRule type="expression" dxfId="3101" priority="555">
      <formula>$C14&gt;$E$3</formula>
    </cfRule>
  </conditionalFormatting>
  <conditionalFormatting sqref="K14:K20">
    <cfRule type="expression" dxfId="3100" priority="550">
      <formula>$E14=""</formula>
    </cfRule>
  </conditionalFormatting>
  <conditionalFormatting sqref="K14:K20">
    <cfRule type="expression" dxfId="3099" priority="549">
      <formula>$E14=""</formula>
    </cfRule>
  </conditionalFormatting>
  <conditionalFormatting sqref="K14:K20">
    <cfRule type="expression" dxfId="3098" priority="548">
      <formula>$E14=""</formula>
    </cfRule>
  </conditionalFormatting>
  <conditionalFormatting sqref="K19">
    <cfRule type="expression" dxfId="3097" priority="547">
      <formula>$C19&lt;$E$3</formula>
    </cfRule>
  </conditionalFormatting>
  <conditionalFormatting sqref="K19">
    <cfRule type="expression" dxfId="3096" priority="543">
      <formula>$C19=$E$3</formula>
    </cfRule>
    <cfRule type="expression" dxfId="3095" priority="544">
      <formula>$C19&lt;$E$3</formula>
    </cfRule>
    <cfRule type="cellIs" dxfId="3094" priority="545" operator="equal">
      <formula>0</formula>
    </cfRule>
    <cfRule type="expression" dxfId="3093" priority="546">
      <formula>$C19&gt;$E$3</formula>
    </cfRule>
  </conditionalFormatting>
  <conditionalFormatting sqref="K19">
    <cfRule type="expression" dxfId="3092" priority="542">
      <formula>$C19&lt;$E$3</formula>
    </cfRule>
  </conditionalFormatting>
  <conditionalFormatting sqref="K19">
    <cfRule type="expression" dxfId="3091" priority="538">
      <formula>$C19=$E$3</formula>
    </cfRule>
    <cfRule type="expression" dxfId="3090" priority="539">
      <formula>$C19&lt;$E$3</formula>
    </cfRule>
    <cfRule type="cellIs" dxfId="3089" priority="540" operator="equal">
      <formula>0</formula>
    </cfRule>
    <cfRule type="expression" dxfId="3088" priority="541">
      <formula>$C19&gt;$E$3</formula>
    </cfRule>
  </conditionalFormatting>
  <conditionalFormatting sqref="K19">
    <cfRule type="expression" dxfId="3087" priority="537">
      <formula>$C19&lt;$E$3</formula>
    </cfRule>
  </conditionalFormatting>
  <conditionalFormatting sqref="K19">
    <cfRule type="expression" dxfId="3086" priority="533">
      <formula>$C19=$E$3</formula>
    </cfRule>
    <cfRule type="expression" dxfId="3085" priority="534">
      <formula>$C19&lt;$E$3</formula>
    </cfRule>
    <cfRule type="cellIs" dxfId="3084" priority="535" operator="equal">
      <formula>0</formula>
    </cfRule>
    <cfRule type="expression" dxfId="3083" priority="536">
      <formula>$C19&gt;$E$3</formula>
    </cfRule>
  </conditionalFormatting>
  <conditionalFormatting sqref="K19">
    <cfRule type="expression" dxfId="3082" priority="532">
      <formula>$C19&lt;$E$3</formula>
    </cfRule>
  </conditionalFormatting>
  <conditionalFormatting sqref="K19">
    <cfRule type="expression" dxfId="3081" priority="528">
      <formula>$C19=$E$3</formula>
    </cfRule>
    <cfRule type="expression" dxfId="3080" priority="529">
      <formula>$C19&lt;$E$3</formula>
    </cfRule>
    <cfRule type="cellIs" dxfId="3079" priority="530" operator="equal">
      <formula>0</formula>
    </cfRule>
    <cfRule type="expression" dxfId="3078" priority="531">
      <formula>$C19&gt;$E$3</formula>
    </cfRule>
  </conditionalFormatting>
  <conditionalFormatting sqref="K19">
    <cfRule type="expression" dxfId="3077" priority="527">
      <formula>$E19=""</formula>
    </cfRule>
  </conditionalFormatting>
  <conditionalFormatting sqref="K19">
    <cfRule type="expression" dxfId="3076" priority="526">
      <formula>$C19&lt;$E$3</formula>
    </cfRule>
  </conditionalFormatting>
  <conditionalFormatting sqref="K19">
    <cfRule type="expression" dxfId="3075" priority="525">
      <formula>$E19=""</formula>
    </cfRule>
  </conditionalFormatting>
  <conditionalFormatting sqref="K19">
    <cfRule type="expression" dxfId="3074" priority="524">
      <formula>$E19=""</formula>
    </cfRule>
  </conditionalFormatting>
  <conditionalFormatting sqref="K19">
    <cfRule type="expression" dxfId="3073" priority="523">
      <formula>$C19&lt;$E$3</formula>
    </cfRule>
  </conditionalFormatting>
  <conditionalFormatting sqref="K19">
    <cfRule type="expression" dxfId="3072" priority="522">
      <formula>$E19=""</formula>
    </cfRule>
  </conditionalFormatting>
  <conditionalFormatting sqref="K19">
    <cfRule type="expression" dxfId="3071" priority="521">
      <formula>$C19&lt;$E$3</formula>
    </cfRule>
  </conditionalFormatting>
  <conditionalFormatting sqref="K19">
    <cfRule type="expression" dxfId="3070" priority="520">
      <formula>$E19=""</formula>
    </cfRule>
  </conditionalFormatting>
  <conditionalFormatting sqref="K19">
    <cfRule type="expression" dxfId="3069" priority="518">
      <formula>$E19=""</formula>
    </cfRule>
  </conditionalFormatting>
  <conditionalFormatting sqref="K19">
    <cfRule type="expression" dxfId="3068" priority="513">
      <formula>$C19=$E$3</formula>
    </cfRule>
    <cfRule type="expression" dxfId="3067" priority="514">
      <formula>$C19&lt;$E$3</formula>
    </cfRule>
    <cfRule type="cellIs" dxfId="3066" priority="515" operator="equal">
      <formula>0</formula>
    </cfRule>
    <cfRule type="expression" dxfId="3065" priority="516">
      <formula>$C19&gt;$E$3</formula>
    </cfRule>
  </conditionalFormatting>
  <conditionalFormatting sqref="K19">
    <cfRule type="expression" dxfId="3064" priority="512">
      <formula>$C19&lt;$E$3</formula>
    </cfRule>
  </conditionalFormatting>
  <conditionalFormatting sqref="K19">
    <cfRule type="expression" dxfId="3063" priority="508">
      <formula>$C19=$E$3</formula>
    </cfRule>
    <cfRule type="expression" dxfId="3062" priority="509">
      <formula>$C19&lt;$E$3</formula>
    </cfRule>
    <cfRule type="cellIs" dxfId="3061" priority="510" operator="equal">
      <formula>0</formula>
    </cfRule>
    <cfRule type="expression" dxfId="3060" priority="511">
      <formula>$C19&gt;$E$3</formula>
    </cfRule>
  </conditionalFormatting>
  <conditionalFormatting sqref="K19">
    <cfRule type="expression" dxfId="3059" priority="507">
      <formula>$C19&lt;$E$3</formula>
    </cfRule>
  </conditionalFormatting>
  <conditionalFormatting sqref="K19">
    <cfRule type="expression" dxfId="3058" priority="503">
      <formula>$C19=$E$3</formula>
    </cfRule>
    <cfRule type="expression" dxfId="3057" priority="504">
      <formula>$C19&lt;$E$3</formula>
    </cfRule>
    <cfRule type="cellIs" dxfId="3056" priority="505" operator="equal">
      <formula>0</formula>
    </cfRule>
    <cfRule type="expression" dxfId="3055" priority="506">
      <formula>$C19&gt;$E$3</formula>
    </cfRule>
  </conditionalFormatting>
  <conditionalFormatting sqref="K19">
    <cfRule type="expression" dxfId="3054" priority="502">
      <formula>$C19&lt;$E$3</formula>
    </cfRule>
  </conditionalFormatting>
  <conditionalFormatting sqref="K19">
    <cfRule type="expression" dxfId="3053" priority="498">
      <formula>$C19=$E$3</formula>
    </cfRule>
    <cfRule type="expression" dxfId="3052" priority="499">
      <formula>$C19&lt;$E$3</formula>
    </cfRule>
    <cfRule type="cellIs" dxfId="3051" priority="500" operator="equal">
      <formula>0</formula>
    </cfRule>
    <cfRule type="expression" dxfId="3050" priority="501">
      <formula>$C19&gt;$E$3</formula>
    </cfRule>
  </conditionalFormatting>
  <conditionalFormatting sqref="K19">
    <cfRule type="expression" dxfId="3049" priority="497">
      <formula>$E19=""</formula>
    </cfRule>
  </conditionalFormatting>
  <conditionalFormatting sqref="K19">
    <cfRule type="expression" dxfId="3048" priority="496">
      <formula>$C19&lt;$E$3</formula>
    </cfRule>
  </conditionalFormatting>
  <conditionalFormatting sqref="K19">
    <cfRule type="expression" dxfId="3047" priority="495">
      <formula>$E19=""</formula>
    </cfRule>
  </conditionalFormatting>
  <conditionalFormatting sqref="K19">
    <cfRule type="expression" dxfId="3046" priority="494">
      <formula>$E19=""</formula>
    </cfRule>
  </conditionalFormatting>
  <conditionalFormatting sqref="K19">
    <cfRule type="expression" dxfId="3045" priority="493">
      <formula>$C19&lt;$E$3</formula>
    </cfRule>
  </conditionalFormatting>
  <conditionalFormatting sqref="K19">
    <cfRule type="expression" dxfId="3044" priority="492">
      <formula>$E19=""</formula>
    </cfRule>
  </conditionalFormatting>
  <conditionalFormatting sqref="K19">
    <cfRule type="expression" dxfId="3043" priority="491">
      <formula>$C19&lt;$E$3</formula>
    </cfRule>
  </conditionalFormatting>
  <conditionalFormatting sqref="K19">
    <cfRule type="expression" dxfId="3042" priority="490">
      <formula>$E19=""</formula>
    </cfRule>
  </conditionalFormatting>
  <conditionalFormatting sqref="K19">
    <cfRule type="expression" dxfId="3041" priority="488">
      <formula>$E19=""</formula>
    </cfRule>
  </conditionalFormatting>
  <conditionalFormatting sqref="K14:K18">
    <cfRule type="expression" dxfId="3040" priority="483">
      <formula>$C14=$E$3</formula>
    </cfRule>
    <cfRule type="expression" dxfId="3039" priority="484">
      <formula>$C14&lt;$E$3</formula>
    </cfRule>
    <cfRule type="cellIs" dxfId="3038" priority="485" operator="equal">
      <formula>0</formula>
    </cfRule>
    <cfRule type="expression" dxfId="3037" priority="486">
      <formula>$C14&gt;$E$3</formula>
    </cfRule>
  </conditionalFormatting>
  <conditionalFormatting sqref="K14:K18">
    <cfRule type="expression" dxfId="3036" priority="482">
      <formula>$C14&lt;$E$3</formula>
    </cfRule>
  </conditionalFormatting>
  <conditionalFormatting sqref="K14:K18">
    <cfRule type="expression" dxfId="3035" priority="478">
      <formula>$C14=$E$3</formula>
    </cfRule>
    <cfRule type="expression" dxfId="3034" priority="479">
      <formula>$C14&lt;$E$3</formula>
    </cfRule>
    <cfRule type="cellIs" dxfId="3033" priority="480" operator="equal">
      <formula>0</formula>
    </cfRule>
    <cfRule type="expression" dxfId="3032" priority="481">
      <formula>$C14&gt;$E$3</formula>
    </cfRule>
  </conditionalFormatting>
  <conditionalFormatting sqref="K14:K18">
    <cfRule type="expression" dxfId="3031" priority="477">
      <formula>$C14&lt;$E$3</formula>
    </cfRule>
  </conditionalFormatting>
  <conditionalFormatting sqref="K14:K18">
    <cfRule type="expression" dxfId="3030" priority="473">
      <formula>$C14=$E$3</formula>
    </cfRule>
    <cfRule type="expression" dxfId="3029" priority="474">
      <formula>$C14&lt;$E$3</formula>
    </cfRule>
    <cfRule type="cellIs" dxfId="3028" priority="475" operator="equal">
      <formula>0</formula>
    </cfRule>
    <cfRule type="expression" dxfId="3027" priority="476">
      <formula>$C14&gt;$E$3</formula>
    </cfRule>
  </conditionalFormatting>
  <conditionalFormatting sqref="K14:K18">
    <cfRule type="expression" dxfId="3026" priority="472">
      <formula>$C14&lt;$E$3</formula>
    </cfRule>
  </conditionalFormatting>
  <conditionalFormatting sqref="K14:K18">
    <cfRule type="expression" dxfId="3025" priority="468">
      <formula>$C14=$E$3</formula>
    </cfRule>
    <cfRule type="expression" dxfId="3024" priority="469">
      <formula>$C14&lt;$E$3</formula>
    </cfRule>
    <cfRule type="cellIs" dxfId="3023" priority="470" operator="equal">
      <formula>0</formula>
    </cfRule>
    <cfRule type="expression" dxfId="3022" priority="471">
      <formula>$C14&gt;$E$3</formula>
    </cfRule>
  </conditionalFormatting>
  <conditionalFormatting sqref="K14:K18">
    <cfRule type="expression" dxfId="3021" priority="467">
      <formula>$E14=""</formula>
    </cfRule>
  </conditionalFormatting>
  <conditionalFormatting sqref="K14:K18">
    <cfRule type="expression" dxfId="3020" priority="466">
      <formula>$C14&lt;$E$3</formula>
    </cfRule>
  </conditionalFormatting>
  <conditionalFormatting sqref="K14:K18">
    <cfRule type="expression" dxfId="3019" priority="465">
      <formula>$E14=""</formula>
    </cfRule>
  </conditionalFormatting>
  <conditionalFormatting sqref="K14:K18">
    <cfRule type="expression" dxfId="3018" priority="464">
      <formula>$E14=""</formula>
    </cfRule>
  </conditionalFormatting>
  <conditionalFormatting sqref="K14:K18">
    <cfRule type="expression" dxfId="3017" priority="463">
      <formula>$C14&lt;$E$3</formula>
    </cfRule>
  </conditionalFormatting>
  <conditionalFormatting sqref="K14:K18">
    <cfRule type="expression" dxfId="3016" priority="462">
      <formula>$E14=""</formula>
    </cfRule>
  </conditionalFormatting>
  <conditionalFormatting sqref="K14:K18">
    <cfRule type="expression" dxfId="3015" priority="461">
      <formula>$C14&lt;$E$3</formula>
    </cfRule>
  </conditionalFormatting>
  <conditionalFormatting sqref="K14:K18">
    <cfRule type="expression" dxfId="3014" priority="460">
      <formula>$E14=""</formula>
    </cfRule>
  </conditionalFormatting>
  <conditionalFormatting sqref="K14:K18">
    <cfRule type="expression" dxfId="3013" priority="458">
      <formula>$E14=""</formula>
    </cfRule>
  </conditionalFormatting>
  <conditionalFormatting sqref="K14:K18">
    <cfRule type="expression" dxfId="3012" priority="453">
      <formula>$C14=$E$3</formula>
    </cfRule>
    <cfRule type="expression" dxfId="3011" priority="454">
      <formula>$C14&lt;$E$3</formula>
    </cfRule>
    <cfRule type="cellIs" dxfId="3010" priority="455" operator="equal">
      <formula>0</formula>
    </cfRule>
    <cfRule type="expression" dxfId="3009" priority="456">
      <formula>$C14&gt;$E$3</formula>
    </cfRule>
  </conditionalFormatting>
  <conditionalFormatting sqref="K14:K18">
    <cfRule type="expression" dxfId="3008" priority="452">
      <formula>$C14&lt;$E$3</formula>
    </cfRule>
  </conditionalFormatting>
  <conditionalFormatting sqref="K14:K18">
    <cfRule type="expression" dxfId="3007" priority="448">
      <formula>$C14=$E$3</formula>
    </cfRule>
    <cfRule type="expression" dxfId="3006" priority="449">
      <formula>$C14&lt;$E$3</formula>
    </cfRule>
    <cfRule type="cellIs" dxfId="3005" priority="450" operator="equal">
      <formula>0</formula>
    </cfRule>
    <cfRule type="expression" dxfId="3004" priority="451">
      <formula>$C14&gt;$E$3</formula>
    </cfRule>
  </conditionalFormatting>
  <conditionalFormatting sqref="K14:K18">
    <cfRule type="expression" dxfId="3003" priority="447">
      <formula>$C14&lt;$E$3</formula>
    </cfRule>
  </conditionalFormatting>
  <conditionalFormatting sqref="K14:K18">
    <cfRule type="expression" dxfId="3002" priority="443">
      <formula>$C14=$E$3</formula>
    </cfRule>
    <cfRule type="expression" dxfId="3001" priority="444">
      <formula>$C14&lt;$E$3</formula>
    </cfRule>
    <cfRule type="cellIs" dxfId="3000" priority="445" operator="equal">
      <formula>0</formula>
    </cfRule>
    <cfRule type="expression" dxfId="2999" priority="446">
      <formula>$C14&gt;$E$3</formula>
    </cfRule>
  </conditionalFormatting>
  <conditionalFormatting sqref="K14:K18">
    <cfRule type="expression" dxfId="2998" priority="442">
      <formula>$C14&lt;$E$3</formula>
    </cfRule>
  </conditionalFormatting>
  <conditionalFormatting sqref="K14:K18">
    <cfRule type="expression" dxfId="2997" priority="438">
      <formula>$C14=$E$3</formula>
    </cfRule>
    <cfRule type="expression" dxfId="2996" priority="439">
      <formula>$C14&lt;$E$3</formula>
    </cfRule>
    <cfRule type="cellIs" dxfId="2995" priority="440" operator="equal">
      <formula>0</formula>
    </cfRule>
    <cfRule type="expression" dxfId="2994" priority="441">
      <formula>$C14&gt;$E$3</formula>
    </cfRule>
  </conditionalFormatting>
  <conditionalFormatting sqref="K14:K18">
    <cfRule type="expression" dxfId="2993" priority="437">
      <formula>$E14=""</formula>
    </cfRule>
  </conditionalFormatting>
  <conditionalFormatting sqref="K14:K18">
    <cfRule type="expression" dxfId="2992" priority="436">
      <formula>$C14&lt;$E$3</formula>
    </cfRule>
  </conditionalFormatting>
  <conditionalFormatting sqref="K14:K18">
    <cfRule type="expression" dxfId="2991" priority="435">
      <formula>$E14=""</formula>
    </cfRule>
  </conditionalFormatting>
  <conditionalFormatting sqref="K14:K18">
    <cfRule type="expression" dxfId="2990" priority="434">
      <formula>$E14=""</formula>
    </cfRule>
  </conditionalFormatting>
  <conditionalFormatting sqref="K14:K18">
    <cfRule type="expression" dxfId="2989" priority="433">
      <formula>$C14&lt;$E$3</formula>
    </cfRule>
  </conditionalFormatting>
  <conditionalFormatting sqref="K14:K18">
    <cfRule type="expression" dxfId="2988" priority="432">
      <formula>$E14=""</formula>
    </cfRule>
  </conditionalFormatting>
  <conditionalFormatting sqref="K14:K18">
    <cfRule type="expression" dxfId="2987" priority="431">
      <formula>$C14&lt;$E$3</formula>
    </cfRule>
  </conditionalFormatting>
  <conditionalFormatting sqref="K14:K18">
    <cfRule type="expression" dxfId="2986" priority="430">
      <formula>$E14=""</formula>
    </cfRule>
  </conditionalFormatting>
  <conditionalFormatting sqref="K14:K18">
    <cfRule type="expression" dxfId="2985" priority="428">
      <formula>$E14=""</formula>
    </cfRule>
  </conditionalFormatting>
  <conditionalFormatting sqref="K14:K20">
    <cfRule type="expression" dxfId="2984" priority="426">
      <formula>$C14&lt;$E$3</formula>
    </cfRule>
  </conditionalFormatting>
  <conditionalFormatting sqref="K14:K20">
    <cfRule type="expression" dxfId="2983" priority="423">
      <formula>$C14=$E$3</formula>
    </cfRule>
    <cfRule type="expression" dxfId="2982" priority="424">
      <formula>$C14&lt;$E$3</formula>
    </cfRule>
    <cfRule type="cellIs" dxfId="2981" priority="425" operator="equal">
      <formula>0</formula>
    </cfRule>
    <cfRule type="expression" dxfId="2980" priority="427">
      <formula>$C14&gt;$E$3</formula>
    </cfRule>
  </conditionalFormatting>
  <conditionalFormatting sqref="K14:K20">
    <cfRule type="expression" dxfId="2979" priority="422">
      <formula>$E14=""</formula>
    </cfRule>
  </conditionalFormatting>
  <conditionalFormatting sqref="K14:K20">
    <cfRule type="expression" dxfId="2978" priority="421">
      <formula>$E14=""</formula>
    </cfRule>
  </conditionalFormatting>
  <conditionalFormatting sqref="K14:K20">
    <cfRule type="expression" dxfId="2977" priority="420">
      <formula>$E14=""</formula>
    </cfRule>
  </conditionalFormatting>
  <conditionalFormatting sqref="K23:K29">
    <cfRule type="cellIs" dxfId="2976" priority="419" stopIfTrue="1" operator="lessThan">
      <formula>0</formula>
    </cfRule>
  </conditionalFormatting>
  <conditionalFormatting sqref="K23:K29">
    <cfRule type="expression" dxfId="2975" priority="417">
      <formula>$C23&lt;$E$3</formula>
    </cfRule>
  </conditionalFormatting>
  <conditionalFormatting sqref="K23:K29">
    <cfRule type="expression" dxfId="2974" priority="414">
      <formula>$C23=$E$3</formula>
    </cfRule>
    <cfRule type="expression" dxfId="2973" priority="415">
      <formula>$C23&lt;$E$3</formula>
    </cfRule>
    <cfRule type="cellIs" dxfId="2972" priority="416" operator="equal">
      <formula>0</formula>
    </cfRule>
    <cfRule type="expression" dxfId="2971" priority="418">
      <formula>$C23&gt;$E$3</formula>
    </cfRule>
  </conditionalFormatting>
  <conditionalFormatting sqref="K23:K29">
    <cfRule type="expression" dxfId="2970" priority="413">
      <formula>$E23=""</formula>
    </cfRule>
  </conditionalFormatting>
  <conditionalFormatting sqref="K23:K29">
    <cfRule type="expression" dxfId="2969" priority="412">
      <formula>$E23=""</formula>
    </cfRule>
  </conditionalFormatting>
  <conditionalFormatting sqref="K23:K29">
    <cfRule type="expression" dxfId="2968" priority="411">
      <formula>$E23=""</formula>
    </cfRule>
  </conditionalFormatting>
  <conditionalFormatting sqref="K28">
    <cfRule type="expression" dxfId="2967" priority="410">
      <formula>$C28&lt;$E$3</formula>
    </cfRule>
  </conditionalFormatting>
  <conditionalFormatting sqref="K28">
    <cfRule type="expression" dxfId="2966" priority="406">
      <formula>$C28=$E$3</formula>
    </cfRule>
    <cfRule type="expression" dxfId="2965" priority="407">
      <formula>$C28&lt;$E$3</formula>
    </cfRule>
    <cfRule type="cellIs" dxfId="2964" priority="408" operator="equal">
      <formula>0</formula>
    </cfRule>
    <cfRule type="expression" dxfId="2963" priority="409">
      <formula>$C28&gt;$E$3</formula>
    </cfRule>
  </conditionalFormatting>
  <conditionalFormatting sqref="K28">
    <cfRule type="expression" dxfId="2962" priority="405">
      <formula>$C28&lt;$E$3</formula>
    </cfRule>
  </conditionalFormatting>
  <conditionalFormatting sqref="K28">
    <cfRule type="expression" dxfId="2961" priority="401">
      <formula>$C28=$E$3</formula>
    </cfRule>
    <cfRule type="expression" dxfId="2960" priority="402">
      <formula>$C28&lt;$E$3</formula>
    </cfRule>
    <cfRule type="cellIs" dxfId="2959" priority="403" operator="equal">
      <formula>0</formula>
    </cfRule>
    <cfRule type="expression" dxfId="2958" priority="404">
      <formula>$C28&gt;$E$3</formula>
    </cfRule>
  </conditionalFormatting>
  <conditionalFormatting sqref="K28">
    <cfRule type="expression" dxfId="2957" priority="400">
      <formula>$C28&lt;$E$3</formula>
    </cfRule>
  </conditionalFormatting>
  <conditionalFormatting sqref="K28">
    <cfRule type="expression" dxfId="2956" priority="396">
      <formula>$C28=$E$3</formula>
    </cfRule>
    <cfRule type="expression" dxfId="2955" priority="397">
      <formula>$C28&lt;$E$3</formula>
    </cfRule>
    <cfRule type="cellIs" dxfId="2954" priority="398" operator="equal">
      <formula>0</formula>
    </cfRule>
    <cfRule type="expression" dxfId="2953" priority="399">
      <formula>$C28&gt;$E$3</formula>
    </cfRule>
  </conditionalFormatting>
  <conditionalFormatting sqref="K28">
    <cfRule type="expression" dxfId="2952" priority="395">
      <formula>$C28&lt;$E$3</formula>
    </cfRule>
  </conditionalFormatting>
  <conditionalFormatting sqref="K28">
    <cfRule type="expression" dxfId="2951" priority="391">
      <formula>$C28=$E$3</formula>
    </cfRule>
    <cfRule type="expression" dxfId="2950" priority="392">
      <formula>$C28&lt;$E$3</formula>
    </cfRule>
    <cfRule type="cellIs" dxfId="2949" priority="393" operator="equal">
      <formula>0</formula>
    </cfRule>
    <cfRule type="expression" dxfId="2948" priority="394">
      <formula>$C28&gt;$E$3</formula>
    </cfRule>
  </conditionalFormatting>
  <conditionalFormatting sqref="K28">
    <cfRule type="expression" dxfId="2947" priority="390">
      <formula>$E28=""</formula>
    </cfRule>
  </conditionalFormatting>
  <conditionalFormatting sqref="K28">
    <cfRule type="expression" dxfId="2946" priority="389">
      <formula>$C28&lt;$E$3</formula>
    </cfRule>
  </conditionalFormatting>
  <conditionalFormatting sqref="K28">
    <cfRule type="expression" dxfId="2945" priority="388">
      <formula>$E28=""</formula>
    </cfRule>
  </conditionalFormatting>
  <conditionalFormatting sqref="K28">
    <cfRule type="expression" dxfId="2944" priority="387">
      <formula>$E28=""</formula>
    </cfRule>
  </conditionalFormatting>
  <conditionalFormatting sqref="K28">
    <cfRule type="expression" dxfId="2943" priority="386">
      <formula>$C28&lt;$E$3</formula>
    </cfRule>
  </conditionalFormatting>
  <conditionalFormatting sqref="K28">
    <cfRule type="expression" dxfId="2942" priority="385">
      <formula>$E28=""</formula>
    </cfRule>
  </conditionalFormatting>
  <conditionalFormatting sqref="K28">
    <cfRule type="expression" dxfId="2941" priority="384">
      <formula>$C28&lt;$E$3</formula>
    </cfRule>
  </conditionalFormatting>
  <conditionalFormatting sqref="K28">
    <cfRule type="expression" dxfId="2940" priority="383">
      <formula>$E28=""</formula>
    </cfRule>
  </conditionalFormatting>
  <conditionalFormatting sqref="K28">
    <cfRule type="expression" dxfId="2939" priority="381">
      <formula>$E28=""</formula>
    </cfRule>
  </conditionalFormatting>
  <conditionalFormatting sqref="K28">
    <cfRule type="expression" dxfId="2938" priority="376">
      <formula>$C28=$E$3</formula>
    </cfRule>
    <cfRule type="expression" dxfId="2937" priority="377">
      <formula>$C28&lt;$E$3</formula>
    </cfRule>
    <cfRule type="cellIs" dxfId="2936" priority="378" operator="equal">
      <formula>0</formula>
    </cfRule>
    <cfRule type="expression" dxfId="2935" priority="379">
      <formula>$C28&gt;$E$3</formula>
    </cfRule>
  </conditionalFormatting>
  <conditionalFormatting sqref="K28">
    <cfRule type="expression" dxfId="2934" priority="375">
      <formula>$C28&lt;$E$3</formula>
    </cfRule>
  </conditionalFormatting>
  <conditionalFormatting sqref="K28">
    <cfRule type="expression" dxfId="2933" priority="371">
      <formula>$C28=$E$3</formula>
    </cfRule>
    <cfRule type="expression" dxfId="2932" priority="372">
      <formula>$C28&lt;$E$3</formula>
    </cfRule>
    <cfRule type="cellIs" dxfId="2931" priority="373" operator="equal">
      <formula>0</formula>
    </cfRule>
    <cfRule type="expression" dxfId="2930" priority="374">
      <formula>$C28&gt;$E$3</formula>
    </cfRule>
  </conditionalFormatting>
  <conditionalFormatting sqref="K28">
    <cfRule type="expression" dxfId="2929" priority="370">
      <formula>$C28&lt;$E$3</formula>
    </cfRule>
  </conditionalFormatting>
  <conditionalFormatting sqref="K28">
    <cfRule type="expression" dxfId="2928" priority="366">
      <formula>$C28=$E$3</formula>
    </cfRule>
    <cfRule type="expression" dxfId="2927" priority="367">
      <formula>$C28&lt;$E$3</formula>
    </cfRule>
    <cfRule type="cellIs" dxfId="2926" priority="368" operator="equal">
      <formula>0</formula>
    </cfRule>
    <cfRule type="expression" dxfId="2925" priority="369">
      <formula>$C28&gt;$E$3</formula>
    </cfRule>
  </conditionalFormatting>
  <conditionalFormatting sqref="K28">
    <cfRule type="expression" dxfId="2924" priority="365">
      <formula>$C28&lt;$E$3</formula>
    </cfRule>
  </conditionalFormatting>
  <conditionalFormatting sqref="K28">
    <cfRule type="expression" dxfId="2923" priority="361">
      <formula>$C28=$E$3</formula>
    </cfRule>
    <cfRule type="expression" dxfId="2922" priority="362">
      <formula>$C28&lt;$E$3</formula>
    </cfRule>
    <cfRule type="cellIs" dxfId="2921" priority="363" operator="equal">
      <formula>0</formula>
    </cfRule>
    <cfRule type="expression" dxfId="2920" priority="364">
      <formula>$C28&gt;$E$3</formula>
    </cfRule>
  </conditionalFormatting>
  <conditionalFormatting sqref="K28">
    <cfRule type="expression" dxfId="2919" priority="360">
      <formula>$E28=""</formula>
    </cfRule>
  </conditionalFormatting>
  <conditionalFormatting sqref="K28">
    <cfRule type="expression" dxfId="2918" priority="359">
      <formula>$C28&lt;$E$3</formula>
    </cfRule>
  </conditionalFormatting>
  <conditionalFormatting sqref="K28">
    <cfRule type="expression" dxfId="2917" priority="358">
      <formula>$E28=""</formula>
    </cfRule>
  </conditionalFormatting>
  <conditionalFormatting sqref="K28">
    <cfRule type="expression" dxfId="2916" priority="357">
      <formula>$E28=""</formula>
    </cfRule>
  </conditionalFormatting>
  <conditionalFormatting sqref="K28">
    <cfRule type="expression" dxfId="2915" priority="356">
      <formula>$C28&lt;$E$3</formula>
    </cfRule>
  </conditionalFormatting>
  <conditionalFormatting sqref="K28">
    <cfRule type="expression" dxfId="2914" priority="355">
      <formula>$E28=""</formula>
    </cfRule>
  </conditionalFormatting>
  <conditionalFormatting sqref="K28">
    <cfRule type="expression" dxfId="2913" priority="354">
      <formula>$C28&lt;$E$3</formula>
    </cfRule>
  </conditionalFormatting>
  <conditionalFormatting sqref="K28">
    <cfRule type="expression" dxfId="2912" priority="353">
      <formula>$E28=""</formula>
    </cfRule>
  </conditionalFormatting>
  <conditionalFormatting sqref="K28">
    <cfRule type="expression" dxfId="2911" priority="351">
      <formula>$E28=""</formula>
    </cfRule>
  </conditionalFormatting>
  <conditionalFormatting sqref="K23:K27">
    <cfRule type="expression" dxfId="2910" priority="346">
      <formula>$C23=$E$3</formula>
    </cfRule>
    <cfRule type="expression" dxfId="2909" priority="347">
      <formula>$C23&lt;$E$3</formula>
    </cfRule>
    <cfRule type="cellIs" dxfId="2908" priority="348" operator="equal">
      <formula>0</formula>
    </cfRule>
    <cfRule type="expression" dxfId="2907" priority="349">
      <formula>$C23&gt;$E$3</formula>
    </cfRule>
  </conditionalFormatting>
  <conditionalFormatting sqref="K23:K27">
    <cfRule type="expression" dxfId="2906" priority="345">
      <formula>$C23&lt;$E$3</formula>
    </cfRule>
  </conditionalFormatting>
  <conditionalFormatting sqref="K23:K27">
    <cfRule type="expression" dxfId="2905" priority="341">
      <formula>$C23=$E$3</formula>
    </cfRule>
    <cfRule type="expression" dxfId="2904" priority="342">
      <formula>$C23&lt;$E$3</formula>
    </cfRule>
    <cfRule type="cellIs" dxfId="2903" priority="343" operator="equal">
      <formula>0</formula>
    </cfRule>
    <cfRule type="expression" dxfId="2902" priority="344">
      <formula>$C23&gt;$E$3</formula>
    </cfRule>
  </conditionalFormatting>
  <conditionalFormatting sqref="K23:K27">
    <cfRule type="expression" dxfId="2901" priority="340">
      <formula>$C23&lt;$E$3</formula>
    </cfRule>
  </conditionalFormatting>
  <conditionalFormatting sqref="K23:K27">
    <cfRule type="expression" dxfId="2900" priority="336">
      <formula>$C23=$E$3</formula>
    </cfRule>
    <cfRule type="expression" dxfId="2899" priority="337">
      <formula>$C23&lt;$E$3</formula>
    </cfRule>
    <cfRule type="cellIs" dxfId="2898" priority="338" operator="equal">
      <formula>0</formula>
    </cfRule>
    <cfRule type="expression" dxfId="2897" priority="339">
      <formula>$C23&gt;$E$3</formula>
    </cfRule>
  </conditionalFormatting>
  <conditionalFormatting sqref="K23:K27">
    <cfRule type="expression" dxfId="2896" priority="335">
      <formula>$C23&lt;$E$3</formula>
    </cfRule>
  </conditionalFormatting>
  <conditionalFormatting sqref="K23:K27">
    <cfRule type="expression" dxfId="2895" priority="331">
      <formula>$C23=$E$3</formula>
    </cfRule>
    <cfRule type="expression" dxfId="2894" priority="332">
      <formula>$C23&lt;$E$3</formula>
    </cfRule>
    <cfRule type="cellIs" dxfId="2893" priority="333" operator="equal">
      <formula>0</formula>
    </cfRule>
    <cfRule type="expression" dxfId="2892" priority="334">
      <formula>$C23&gt;$E$3</formula>
    </cfRule>
  </conditionalFormatting>
  <conditionalFormatting sqref="K23:K27">
    <cfRule type="expression" dxfId="2891" priority="330">
      <formula>$E23=""</formula>
    </cfRule>
  </conditionalFormatting>
  <conditionalFormatting sqref="K23:K27">
    <cfRule type="expression" dxfId="2890" priority="329">
      <formula>$C23&lt;$E$3</formula>
    </cfRule>
  </conditionalFormatting>
  <conditionalFormatting sqref="K23:K27">
    <cfRule type="expression" dxfId="2889" priority="328">
      <formula>$E23=""</formula>
    </cfRule>
  </conditionalFormatting>
  <conditionalFormatting sqref="K23:K27">
    <cfRule type="expression" dxfId="2888" priority="327">
      <formula>$E23=""</formula>
    </cfRule>
  </conditionalFormatting>
  <conditionalFormatting sqref="K23:K27">
    <cfRule type="expression" dxfId="2887" priority="326">
      <formula>$C23&lt;$E$3</formula>
    </cfRule>
  </conditionalFormatting>
  <conditionalFormatting sqref="K23:K27">
    <cfRule type="expression" dxfId="2886" priority="325">
      <formula>$E23=""</formula>
    </cfRule>
  </conditionalFormatting>
  <conditionalFormatting sqref="K23:K27">
    <cfRule type="expression" dxfId="2885" priority="324">
      <formula>$C23&lt;$E$3</formula>
    </cfRule>
  </conditionalFormatting>
  <conditionalFormatting sqref="K23:K27">
    <cfRule type="expression" dxfId="2884" priority="323">
      <formula>$E23=""</formula>
    </cfRule>
  </conditionalFormatting>
  <conditionalFormatting sqref="K23:K27">
    <cfRule type="expression" dxfId="2883" priority="321">
      <formula>$E23=""</formula>
    </cfRule>
  </conditionalFormatting>
  <conditionalFormatting sqref="K23:K27">
    <cfRule type="expression" dxfId="2882" priority="316">
      <formula>$C23=$E$3</formula>
    </cfRule>
    <cfRule type="expression" dxfId="2881" priority="317">
      <formula>$C23&lt;$E$3</formula>
    </cfRule>
    <cfRule type="cellIs" dxfId="2880" priority="318" operator="equal">
      <formula>0</formula>
    </cfRule>
    <cfRule type="expression" dxfId="2879" priority="319">
      <formula>$C23&gt;$E$3</formula>
    </cfRule>
  </conditionalFormatting>
  <conditionalFormatting sqref="K23:K27">
    <cfRule type="expression" dxfId="2878" priority="315">
      <formula>$C23&lt;$E$3</formula>
    </cfRule>
  </conditionalFormatting>
  <conditionalFormatting sqref="K23:K27">
    <cfRule type="expression" dxfId="2877" priority="311">
      <formula>$C23=$E$3</formula>
    </cfRule>
    <cfRule type="expression" dxfId="2876" priority="312">
      <formula>$C23&lt;$E$3</formula>
    </cfRule>
    <cfRule type="cellIs" dxfId="2875" priority="313" operator="equal">
      <formula>0</formula>
    </cfRule>
    <cfRule type="expression" dxfId="2874" priority="314">
      <formula>$C23&gt;$E$3</formula>
    </cfRule>
  </conditionalFormatting>
  <conditionalFormatting sqref="K23:K27">
    <cfRule type="expression" dxfId="2873" priority="310">
      <formula>$C23&lt;$E$3</formula>
    </cfRule>
  </conditionalFormatting>
  <conditionalFormatting sqref="K23:K27">
    <cfRule type="expression" dxfId="2872" priority="306">
      <formula>$C23=$E$3</formula>
    </cfRule>
    <cfRule type="expression" dxfId="2871" priority="307">
      <formula>$C23&lt;$E$3</formula>
    </cfRule>
    <cfRule type="cellIs" dxfId="2870" priority="308" operator="equal">
      <formula>0</formula>
    </cfRule>
    <cfRule type="expression" dxfId="2869" priority="309">
      <formula>$C23&gt;$E$3</formula>
    </cfRule>
  </conditionalFormatting>
  <conditionalFormatting sqref="K23:K27">
    <cfRule type="expression" dxfId="2868" priority="305">
      <formula>$C23&lt;$E$3</formula>
    </cfRule>
  </conditionalFormatting>
  <conditionalFormatting sqref="K23:K27">
    <cfRule type="expression" dxfId="2867" priority="301">
      <formula>$C23=$E$3</formula>
    </cfRule>
    <cfRule type="expression" dxfId="2866" priority="302">
      <formula>$C23&lt;$E$3</formula>
    </cfRule>
    <cfRule type="cellIs" dxfId="2865" priority="303" operator="equal">
      <formula>0</formula>
    </cfRule>
    <cfRule type="expression" dxfId="2864" priority="304">
      <formula>$C23&gt;$E$3</formula>
    </cfRule>
  </conditionalFormatting>
  <conditionalFormatting sqref="K23:K27">
    <cfRule type="expression" dxfId="2863" priority="300">
      <formula>$E23=""</formula>
    </cfRule>
  </conditionalFormatting>
  <conditionalFormatting sqref="K23:K27">
    <cfRule type="expression" dxfId="2862" priority="299">
      <formula>$C23&lt;$E$3</formula>
    </cfRule>
  </conditionalFormatting>
  <conditionalFormatting sqref="K23:K27">
    <cfRule type="expression" dxfId="2861" priority="298">
      <formula>$E23=""</formula>
    </cfRule>
  </conditionalFormatting>
  <conditionalFormatting sqref="K23:K27">
    <cfRule type="expression" dxfId="2860" priority="297">
      <formula>$E23=""</formula>
    </cfRule>
  </conditionalFormatting>
  <conditionalFormatting sqref="K23:K27">
    <cfRule type="expression" dxfId="2859" priority="296">
      <formula>$C23&lt;$E$3</formula>
    </cfRule>
  </conditionalFormatting>
  <conditionalFormatting sqref="K23:K27">
    <cfRule type="expression" dxfId="2858" priority="295">
      <formula>$E23=""</formula>
    </cfRule>
  </conditionalFormatting>
  <conditionalFormatting sqref="K23:K27">
    <cfRule type="expression" dxfId="2857" priority="294">
      <formula>$C23&lt;$E$3</formula>
    </cfRule>
  </conditionalFormatting>
  <conditionalFormatting sqref="K23:K27">
    <cfRule type="expression" dxfId="2856" priority="293">
      <formula>$E23=""</formula>
    </cfRule>
  </conditionalFormatting>
  <conditionalFormatting sqref="K23:K27">
    <cfRule type="expression" dxfId="2855" priority="291">
      <formula>$E23=""</formula>
    </cfRule>
  </conditionalFormatting>
  <conditionalFormatting sqref="K23:K29">
    <cfRule type="expression" dxfId="2854" priority="289">
      <formula>$C23&lt;$E$3</formula>
    </cfRule>
  </conditionalFormatting>
  <conditionalFormatting sqref="K23:K29">
    <cfRule type="expression" dxfId="2853" priority="286">
      <formula>$C23=$E$3</formula>
    </cfRule>
    <cfRule type="expression" dxfId="2852" priority="287">
      <formula>$C23&lt;$E$3</formula>
    </cfRule>
    <cfRule type="cellIs" dxfId="2851" priority="288" operator="equal">
      <formula>0</formula>
    </cfRule>
    <cfRule type="expression" dxfId="2850" priority="290">
      <formula>$C23&gt;$E$3</formula>
    </cfRule>
  </conditionalFormatting>
  <conditionalFormatting sqref="K23:K29">
    <cfRule type="expression" dxfId="2849" priority="285">
      <formula>$E23=""</formula>
    </cfRule>
  </conditionalFormatting>
  <conditionalFormatting sqref="K23:K29">
    <cfRule type="expression" dxfId="2848" priority="284">
      <formula>$E23=""</formula>
    </cfRule>
  </conditionalFormatting>
  <conditionalFormatting sqref="K23:K29">
    <cfRule type="expression" dxfId="2847" priority="283">
      <formula>$E23=""</formula>
    </cfRule>
  </conditionalFormatting>
  <conditionalFormatting sqref="K32:K38">
    <cfRule type="cellIs" dxfId="2846" priority="282" stopIfTrue="1" operator="lessThan">
      <formula>0</formula>
    </cfRule>
  </conditionalFormatting>
  <conditionalFormatting sqref="K32:K38">
    <cfRule type="expression" dxfId="2845" priority="280">
      <formula>$C32&lt;$E$3</formula>
    </cfRule>
  </conditionalFormatting>
  <conditionalFormatting sqref="K32:K38">
    <cfRule type="expression" dxfId="2844" priority="277">
      <formula>$C32=$E$3</formula>
    </cfRule>
    <cfRule type="expression" dxfId="2843" priority="278">
      <formula>$C32&lt;$E$3</formula>
    </cfRule>
    <cfRule type="cellIs" dxfId="2842" priority="279" operator="equal">
      <formula>0</formula>
    </cfRule>
    <cfRule type="expression" dxfId="2841" priority="281">
      <formula>$C32&gt;$E$3</formula>
    </cfRule>
  </conditionalFormatting>
  <conditionalFormatting sqref="K32:K38">
    <cfRule type="expression" dxfId="2840" priority="276">
      <formula>$E32=""</formula>
    </cfRule>
  </conditionalFormatting>
  <conditionalFormatting sqref="K32:K38">
    <cfRule type="expression" dxfId="2839" priority="275">
      <formula>$E32=""</formula>
    </cfRule>
  </conditionalFormatting>
  <conditionalFormatting sqref="K32:K38">
    <cfRule type="expression" dxfId="2838" priority="274">
      <formula>$E32=""</formula>
    </cfRule>
  </conditionalFormatting>
  <conditionalFormatting sqref="K37">
    <cfRule type="expression" dxfId="2837" priority="273">
      <formula>$C37&lt;$E$3</formula>
    </cfRule>
  </conditionalFormatting>
  <conditionalFormatting sqref="K37">
    <cfRule type="expression" dxfId="2836" priority="269">
      <formula>$C37=$E$3</formula>
    </cfRule>
    <cfRule type="expression" dxfId="2835" priority="270">
      <formula>$C37&lt;$E$3</formula>
    </cfRule>
    <cfRule type="cellIs" dxfId="2834" priority="271" operator="equal">
      <formula>0</formula>
    </cfRule>
    <cfRule type="expression" dxfId="2833" priority="272">
      <formula>$C37&gt;$E$3</formula>
    </cfRule>
  </conditionalFormatting>
  <conditionalFormatting sqref="K37">
    <cfRule type="expression" dxfId="2832" priority="268">
      <formula>$C37&lt;$E$3</formula>
    </cfRule>
  </conditionalFormatting>
  <conditionalFormatting sqref="K37">
    <cfRule type="expression" dxfId="2831" priority="264">
      <formula>$C37=$E$3</formula>
    </cfRule>
    <cfRule type="expression" dxfId="2830" priority="265">
      <formula>$C37&lt;$E$3</formula>
    </cfRule>
    <cfRule type="cellIs" dxfId="2829" priority="266" operator="equal">
      <formula>0</formula>
    </cfRule>
    <cfRule type="expression" dxfId="2828" priority="267">
      <formula>$C37&gt;$E$3</formula>
    </cfRule>
  </conditionalFormatting>
  <conditionalFormatting sqref="K37">
    <cfRule type="expression" dxfId="2827" priority="253">
      <formula>$E37=""</formula>
    </cfRule>
  </conditionalFormatting>
  <conditionalFormatting sqref="K37">
    <cfRule type="expression" dxfId="2826" priority="252">
      <formula>$C37&lt;$E$3</formula>
    </cfRule>
  </conditionalFormatting>
  <conditionalFormatting sqref="K37">
    <cfRule type="expression" dxfId="2825" priority="251">
      <formula>$E37=""</formula>
    </cfRule>
  </conditionalFormatting>
  <conditionalFormatting sqref="K37">
    <cfRule type="expression" dxfId="2824" priority="250">
      <formula>$E37=""</formula>
    </cfRule>
  </conditionalFormatting>
  <conditionalFormatting sqref="K37">
    <cfRule type="expression" dxfId="2823" priority="249">
      <formula>$C37&lt;$E$3</formula>
    </cfRule>
  </conditionalFormatting>
  <conditionalFormatting sqref="K37">
    <cfRule type="expression" dxfId="2822" priority="248">
      <formula>$E37=""</formula>
    </cfRule>
  </conditionalFormatting>
  <conditionalFormatting sqref="K37">
    <cfRule type="expression" dxfId="2821" priority="247">
      <formula>$C37&lt;$E$3</formula>
    </cfRule>
  </conditionalFormatting>
  <conditionalFormatting sqref="K37">
    <cfRule type="expression" dxfId="2820" priority="246">
      <formula>$E37=""</formula>
    </cfRule>
  </conditionalFormatting>
  <conditionalFormatting sqref="K37">
    <cfRule type="expression" dxfId="2819" priority="244">
      <formula>$E37=""</formula>
    </cfRule>
  </conditionalFormatting>
  <conditionalFormatting sqref="K37">
    <cfRule type="expression" dxfId="2818" priority="239">
      <formula>$C37=$E$3</formula>
    </cfRule>
    <cfRule type="expression" dxfId="2817" priority="240">
      <formula>$C37&lt;$E$3</formula>
    </cfRule>
    <cfRule type="cellIs" dxfId="2816" priority="241" operator="equal">
      <formula>0</formula>
    </cfRule>
    <cfRule type="expression" dxfId="2815" priority="242">
      <formula>$C37&gt;$E$3</formula>
    </cfRule>
  </conditionalFormatting>
  <conditionalFormatting sqref="K37">
    <cfRule type="expression" dxfId="2814" priority="238">
      <formula>$C37&lt;$E$3</formula>
    </cfRule>
  </conditionalFormatting>
  <conditionalFormatting sqref="K37">
    <cfRule type="expression" dxfId="2813" priority="234">
      <formula>$C37=$E$3</formula>
    </cfRule>
    <cfRule type="expression" dxfId="2812" priority="235">
      <formula>$C37&lt;$E$3</formula>
    </cfRule>
    <cfRule type="cellIs" dxfId="2811" priority="236" operator="equal">
      <formula>0</formula>
    </cfRule>
    <cfRule type="expression" dxfId="2810" priority="237">
      <formula>$C37&gt;$E$3</formula>
    </cfRule>
  </conditionalFormatting>
  <conditionalFormatting sqref="K37">
    <cfRule type="expression" dxfId="2809" priority="223">
      <formula>$E37=""</formula>
    </cfRule>
  </conditionalFormatting>
  <conditionalFormatting sqref="K37">
    <cfRule type="expression" dxfId="2808" priority="222">
      <formula>$C37&lt;$E$3</formula>
    </cfRule>
  </conditionalFormatting>
  <conditionalFormatting sqref="K37">
    <cfRule type="expression" dxfId="2807" priority="221">
      <formula>$E37=""</formula>
    </cfRule>
  </conditionalFormatting>
  <conditionalFormatting sqref="K37">
    <cfRule type="expression" dxfId="2806" priority="220">
      <formula>$E37=""</formula>
    </cfRule>
  </conditionalFormatting>
  <conditionalFormatting sqref="K37">
    <cfRule type="expression" dxfId="2805" priority="219">
      <formula>$C37&lt;$E$3</formula>
    </cfRule>
  </conditionalFormatting>
  <conditionalFormatting sqref="K37">
    <cfRule type="expression" dxfId="2804" priority="218">
      <formula>$E37=""</formula>
    </cfRule>
  </conditionalFormatting>
  <conditionalFormatting sqref="K37">
    <cfRule type="expression" dxfId="2803" priority="217">
      <formula>$C37&lt;$E$3</formula>
    </cfRule>
  </conditionalFormatting>
  <conditionalFormatting sqref="K37">
    <cfRule type="expression" dxfId="2802" priority="216">
      <formula>$E37=""</formula>
    </cfRule>
  </conditionalFormatting>
  <conditionalFormatting sqref="K37">
    <cfRule type="expression" dxfId="2801" priority="214">
      <formula>$E37=""</formula>
    </cfRule>
  </conditionalFormatting>
  <conditionalFormatting sqref="K32:K36">
    <cfRule type="expression" dxfId="2800" priority="209">
      <formula>$C32=$E$3</formula>
    </cfRule>
    <cfRule type="expression" dxfId="2799" priority="210">
      <formula>$C32&lt;$E$3</formula>
    </cfRule>
    <cfRule type="cellIs" dxfId="2798" priority="211" operator="equal">
      <formula>0</formula>
    </cfRule>
    <cfRule type="expression" dxfId="2797" priority="212">
      <formula>$C32&gt;$E$3</formula>
    </cfRule>
  </conditionalFormatting>
  <conditionalFormatting sqref="K32:K36">
    <cfRule type="expression" dxfId="2796" priority="208">
      <formula>$C32&lt;$E$3</formula>
    </cfRule>
  </conditionalFormatting>
  <conditionalFormatting sqref="K32:K36">
    <cfRule type="expression" dxfId="2795" priority="204">
      <formula>$C32=$E$3</formula>
    </cfRule>
    <cfRule type="expression" dxfId="2794" priority="205">
      <formula>$C32&lt;$E$3</formula>
    </cfRule>
    <cfRule type="cellIs" dxfId="2793" priority="206" operator="equal">
      <formula>0</formula>
    </cfRule>
    <cfRule type="expression" dxfId="2792" priority="207">
      <formula>$C32&gt;$E$3</formula>
    </cfRule>
  </conditionalFormatting>
  <conditionalFormatting sqref="K32:K36">
    <cfRule type="expression" dxfId="2791" priority="193">
      <formula>$E32=""</formula>
    </cfRule>
  </conditionalFormatting>
  <conditionalFormatting sqref="K32:K36">
    <cfRule type="expression" dxfId="2790" priority="192">
      <formula>$C32&lt;$E$3</formula>
    </cfRule>
  </conditionalFormatting>
  <conditionalFormatting sqref="K32:K36">
    <cfRule type="expression" dxfId="2789" priority="191">
      <formula>$E32=""</formula>
    </cfRule>
  </conditionalFormatting>
  <conditionalFormatting sqref="K32:K36">
    <cfRule type="expression" dxfId="2788" priority="190">
      <formula>$E32=""</formula>
    </cfRule>
  </conditionalFormatting>
  <conditionalFormatting sqref="K32:K36">
    <cfRule type="expression" dxfId="2787" priority="189">
      <formula>$C32&lt;$E$3</formula>
    </cfRule>
  </conditionalFormatting>
  <conditionalFormatting sqref="K32:K36">
    <cfRule type="expression" dxfId="2786" priority="188">
      <formula>$E32=""</formula>
    </cfRule>
  </conditionalFormatting>
  <conditionalFormatting sqref="K32:K36">
    <cfRule type="expression" dxfId="2785" priority="187">
      <formula>$C32&lt;$E$3</formula>
    </cfRule>
  </conditionalFormatting>
  <conditionalFormatting sqref="K32:K36">
    <cfRule type="expression" dxfId="2784" priority="186">
      <formula>$E32=""</formula>
    </cfRule>
  </conditionalFormatting>
  <conditionalFormatting sqref="K32:K36">
    <cfRule type="expression" dxfId="2783" priority="184">
      <formula>$E32=""</formula>
    </cfRule>
  </conditionalFormatting>
  <conditionalFormatting sqref="K32:K36">
    <cfRule type="expression" dxfId="2782" priority="179">
      <formula>$C32=$E$3</formula>
    </cfRule>
    <cfRule type="expression" dxfId="2781" priority="180">
      <formula>$C32&lt;$E$3</formula>
    </cfRule>
    <cfRule type="cellIs" dxfId="2780" priority="181" operator="equal">
      <formula>0</formula>
    </cfRule>
    <cfRule type="expression" dxfId="2779" priority="182">
      <formula>$C32&gt;$E$3</formula>
    </cfRule>
  </conditionalFormatting>
  <conditionalFormatting sqref="K32:K36">
    <cfRule type="expression" dxfId="2778" priority="178">
      <formula>$C32&lt;$E$3</formula>
    </cfRule>
  </conditionalFormatting>
  <conditionalFormatting sqref="K32:K36">
    <cfRule type="expression" dxfId="2777" priority="174">
      <formula>$C32=$E$3</formula>
    </cfRule>
    <cfRule type="expression" dxfId="2776" priority="175">
      <formula>$C32&lt;$E$3</formula>
    </cfRule>
    <cfRule type="cellIs" dxfId="2775" priority="176" operator="equal">
      <formula>0</formula>
    </cfRule>
    <cfRule type="expression" dxfId="2774" priority="177">
      <formula>$C32&gt;$E$3</formula>
    </cfRule>
  </conditionalFormatting>
  <conditionalFormatting sqref="K32:K36">
    <cfRule type="expression" dxfId="2773" priority="173">
      <formula>$C32&lt;$E$3</formula>
    </cfRule>
  </conditionalFormatting>
  <conditionalFormatting sqref="K32:K36">
    <cfRule type="expression" dxfId="2772" priority="169">
      <formula>$C32=$E$3</formula>
    </cfRule>
    <cfRule type="expression" dxfId="2771" priority="170">
      <formula>$C32&lt;$E$3</formula>
    </cfRule>
    <cfRule type="cellIs" dxfId="2770" priority="171" operator="equal">
      <formula>0</formula>
    </cfRule>
    <cfRule type="expression" dxfId="2769" priority="172">
      <formula>$C32&gt;$E$3</formula>
    </cfRule>
  </conditionalFormatting>
  <conditionalFormatting sqref="K32:K36">
    <cfRule type="expression" dxfId="2768" priority="168">
      <formula>$C32&lt;$E$3</formula>
    </cfRule>
  </conditionalFormatting>
  <conditionalFormatting sqref="K32:K36">
    <cfRule type="expression" dxfId="2767" priority="164">
      <formula>$C32=$E$3</formula>
    </cfRule>
    <cfRule type="expression" dxfId="2766" priority="165">
      <formula>$C32&lt;$E$3</formula>
    </cfRule>
    <cfRule type="cellIs" dxfId="2765" priority="166" operator="equal">
      <formula>0</formula>
    </cfRule>
    <cfRule type="expression" dxfId="2764" priority="167">
      <formula>$C32&gt;$E$3</formula>
    </cfRule>
  </conditionalFormatting>
  <conditionalFormatting sqref="K32:K36">
    <cfRule type="expression" dxfId="2763" priority="163">
      <formula>$E32=""</formula>
    </cfRule>
  </conditionalFormatting>
  <conditionalFormatting sqref="K32:K36">
    <cfRule type="expression" dxfId="2762" priority="162">
      <formula>$C32&lt;$E$3</formula>
    </cfRule>
  </conditionalFormatting>
  <conditionalFormatting sqref="K32:K36">
    <cfRule type="expression" dxfId="2761" priority="161">
      <formula>$E32=""</formula>
    </cfRule>
  </conditionalFormatting>
  <conditionalFormatting sqref="K32:K36">
    <cfRule type="expression" dxfId="2760" priority="160">
      <formula>$E32=""</formula>
    </cfRule>
  </conditionalFormatting>
  <conditionalFormatting sqref="K32:K36">
    <cfRule type="expression" dxfId="2759" priority="159">
      <formula>$C32&lt;$E$3</formula>
    </cfRule>
  </conditionalFormatting>
  <conditionalFormatting sqref="K32:K36">
    <cfRule type="expression" dxfId="2758" priority="158">
      <formula>$E32=""</formula>
    </cfRule>
  </conditionalFormatting>
  <conditionalFormatting sqref="K32:K36">
    <cfRule type="expression" dxfId="2757" priority="157">
      <formula>$C32&lt;$E$3</formula>
    </cfRule>
  </conditionalFormatting>
  <conditionalFormatting sqref="K32:K36">
    <cfRule type="expression" dxfId="2756" priority="156">
      <formula>$E32=""</formula>
    </cfRule>
  </conditionalFormatting>
  <conditionalFormatting sqref="K32:K36">
    <cfRule type="expression" dxfId="2755" priority="154">
      <formula>$E32=""</formula>
    </cfRule>
  </conditionalFormatting>
  <conditionalFormatting sqref="K32:K38">
    <cfRule type="expression" dxfId="2754" priority="152">
      <formula>$C32&lt;$E$3</formula>
    </cfRule>
  </conditionalFormatting>
  <conditionalFormatting sqref="K32:K38">
    <cfRule type="expression" dxfId="2753" priority="149">
      <formula>$C32=$E$3</formula>
    </cfRule>
    <cfRule type="expression" dxfId="2752" priority="150">
      <formula>$C32&lt;$E$3</formula>
    </cfRule>
    <cfRule type="cellIs" dxfId="2751" priority="151" operator="equal">
      <formula>0</formula>
    </cfRule>
    <cfRule type="expression" dxfId="2750" priority="153">
      <formula>$C32&gt;$E$3</formula>
    </cfRule>
  </conditionalFormatting>
  <conditionalFormatting sqref="K32:K38">
    <cfRule type="expression" dxfId="2749" priority="148">
      <formula>$E32=""</formula>
    </cfRule>
  </conditionalFormatting>
  <conditionalFormatting sqref="K32:K38">
    <cfRule type="expression" dxfId="2748" priority="147">
      <formula>$E32=""</formula>
    </cfRule>
  </conditionalFormatting>
  <conditionalFormatting sqref="K32:K38">
    <cfRule type="expression" dxfId="2747" priority="146">
      <formula>$E32=""</formula>
    </cfRule>
  </conditionalFormatting>
  <conditionalFormatting sqref="K41:K47">
    <cfRule type="cellIs" dxfId="2746" priority="145" stopIfTrue="1" operator="lessThan">
      <formula>0</formula>
    </cfRule>
  </conditionalFormatting>
  <conditionalFormatting sqref="K41:K47">
    <cfRule type="expression" dxfId="2745" priority="143">
      <formula>$C41&lt;$E$3</formula>
    </cfRule>
  </conditionalFormatting>
  <conditionalFormatting sqref="K41:K47">
    <cfRule type="expression" dxfId="2744" priority="140">
      <formula>$C41=$E$3</formula>
    </cfRule>
    <cfRule type="expression" dxfId="2743" priority="141">
      <formula>$C41&lt;$E$3</formula>
    </cfRule>
    <cfRule type="cellIs" dxfId="2742" priority="142" operator="equal">
      <formula>0</formula>
    </cfRule>
    <cfRule type="expression" dxfId="2741" priority="144">
      <formula>$C41&gt;$E$3</formula>
    </cfRule>
  </conditionalFormatting>
  <conditionalFormatting sqref="K41:K47">
    <cfRule type="expression" dxfId="2740" priority="139">
      <formula>$E41=""</formula>
    </cfRule>
  </conditionalFormatting>
  <conditionalFormatting sqref="K41:K47">
    <cfRule type="expression" dxfId="2739" priority="138">
      <formula>$E41=""</formula>
    </cfRule>
  </conditionalFormatting>
  <conditionalFormatting sqref="K41:K47">
    <cfRule type="expression" dxfId="2738" priority="137">
      <formula>$E41=""</formula>
    </cfRule>
  </conditionalFormatting>
  <conditionalFormatting sqref="K46">
    <cfRule type="expression" dxfId="2737" priority="136">
      <formula>$C46&lt;$E$3</formula>
    </cfRule>
  </conditionalFormatting>
  <conditionalFormatting sqref="K46">
    <cfRule type="expression" dxfId="2736" priority="132">
      <formula>$C46=$E$3</formula>
    </cfRule>
    <cfRule type="expression" dxfId="2735" priority="133">
      <formula>$C46&lt;$E$3</formula>
    </cfRule>
    <cfRule type="cellIs" dxfId="2734" priority="134" operator="equal">
      <formula>0</formula>
    </cfRule>
    <cfRule type="expression" dxfId="2733" priority="135">
      <formula>$C46&gt;$E$3</formula>
    </cfRule>
  </conditionalFormatting>
  <conditionalFormatting sqref="K46">
    <cfRule type="expression" dxfId="2732" priority="131">
      <formula>$C46&lt;$E$3</formula>
    </cfRule>
  </conditionalFormatting>
  <conditionalFormatting sqref="K46">
    <cfRule type="expression" dxfId="2731" priority="127">
      <formula>$C46=$E$3</formula>
    </cfRule>
    <cfRule type="expression" dxfId="2730" priority="128">
      <formula>$C46&lt;$E$3</formula>
    </cfRule>
    <cfRule type="cellIs" dxfId="2729" priority="129" operator="equal">
      <formula>0</formula>
    </cfRule>
    <cfRule type="expression" dxfId="2728" priority="130">
      <formula>$C46&gt;$E$3</formula>
    </cfRule>
  </conditionalFormatting>
  <conditionalFormatting sqref="K46">
    <cfRule type="expression" dxfId="2727" priority="126">
      <formula>$C46&lt;$E$3</formula>
    </cfRule>
  </conditionalFormatting>
  <conditionalFormatting sqref="K46">
    <cfRule type="expression" dxfId="2726" priority="122">
      <formula>$C46=$E$3</formula>
    </cfRule>
    <cfRule type="expression" dxfId="2725" priority="123">
      <formula>$C46&lt;$E$3</formula>
    </cfRule>
    <cfRule type="cellIs" dxfId="2724" priority="124" operator="equal">
      <formula>0</formula>
    </cfRule>
    <cfRule type="expression" dxfId="2723" priority="125">
      <formula>$C46&gt;$E$3</formula>
    </cfRule>
  </conditionalFormatting>
  <conditionalFormatting sqref="K46">
    <cfRule type="expression" dxfId="2722" priority="121">
      <formula>$C46&lt;$E$3</formula>
    </cfRule>
  </conditionalFormatting>
  <conditionalFormatting sqref="K46">
    <cfRule type="expression" dxfId="2721" priority="117">
      <formula>$C46=$E$3</formula>
    </cfRule>
    <cfRule type="expression" dxfId="2720" priority="118">
      <formula>$C46&lt;$E$3</formula>
    </cfRule>
    <cfRule type="cellIs" dxfId="2719" priority="119" operator="equal">
      <formula>0</formula>
    </cfRule>
    <cfRule type="expression" dxfId="2718" priority="120">
      <formula>$C46&gt;$E$3</formula>
    </cfRule>
  </conditionalFormatting>
  <conditionalFormatting sqref="K46">
    <cfRule type="expression" dxfId="2717" priority="116">
      <formula>$E46=""</formula>
    </cfRule>
  </conditionalFormatting>
  <conditionalFormatting sqref="K46">
    <cfRule type="expression" dxfId="2716" priority="115">
      <formula>$C46&lt;$E$3</formula>
    </cfRule>
  </conditionalFormatting>
  <conditionalFormatting sqref="K46">
    <cfRule type="expression" dxfId="2715" priority="114">
      <formula>$E46=""</formula>
    </cfRule>
  </conditionalFormatting>
  <conditionalFormatting sqref="K46">
    <cfRule type="expression" dxfId="2714" priority="113">
      <formula>$E46=""</formula>
    </cfRule>
  </conditionalFormatting>
  <conditionalFormatting sqref="K46">
    <cfRule type="expression" dxfId="2713" priority="112">
      <formula>$C46&lt;$E$3</formula>
    </cfRule>
  </conditionalFormatting>
  <conditionalFormatting sqref="K46">
    <cfRule type="expression" dxfId="2712" priority="111">
      <formula>$E46=""</formula>
    </cfRule>
  </conditionalFormatting>
  <conditionalFormatting sqref="K46">
    <cfRule type="expression" dxfId="2711" priority="110">
      <formula>$C46&lt;$E$3</formula>
    </cfRule>
  </conditionalFormatting>
  <conditionalFormatting sqref="K46">
    <cfRule type="expression" dxfId="2710" priority="109">
      <formula>$E46=""</formula>
    </cfRule>
  </conditionalFormatting>
  <conditionalFormatting sqref="K46">
    <cfRule type="expression" dxfId="2709" priority="107">
      <formula>$E46=""</formula>
    </cfRule>
  </conditionalFormatting>
  <conditionalFormatting sqref="K46">
    <cfRule type="expression" dxfId="2708" priority="102">
      <formula>$C46=$E$3</formula>
    </cfRule>
    <cfRule type="expression" dxfId="2707" priority="103">
      <formula>$C46&lt;$E$3</formula>
    </cfRule>
    <cfRule type="cellIs" dxfId="2706" priority="104" operator="equal">
      <formula>0</formula>
    </cfRule>
    <cfRule type="expression" dxfId="2705" priority="105">
      <formula>$C46&gt;$E$3</formula>
    </cfRule>
  </conditionalFormatting>
  <conditionalFormatting sqref="K46">
    <cfRule type="expression" dxfId="2704" priority="101">
      <formula>$C46&lt;$E$3</formula>
    </cfRule>
  </conditionalFormatting>
  <conditionalFormatting sqref="K46">
    <cfRule type="expression" dxfId="2703" priority="97">
      <formula>$C46=$E$3</formula>
    </cfRule>
    <cfRule type="expression" dxfId="2702" priority="98">
      <formula>$C46&lt;$E$3</formula>
    </cfRule>
    <cfRule type="cellIs" dxfId="2701" priority="99" operator="equal">
      <formula>0</formula>
    </cfRule>
    <cfRule type="expression" dxfId="2700" priority="100">
      <formula>$C46&gt;$E$3</formula>
    </cfRule>
  </conditionalFormatting>
  <conditionalFormatting sqref="K46">
    <cfRule type="expression" dxfId="2699" priority="96">
      <formula>$C46&lt;$E$3</formula>
    </cfRule>
  </conditionalFormatting>
  <conditionalFormatting sqref="K46">
    <cfRule type="expression" dxfId="2698" priority="92">
      <formula>$C46=$E$3</formula>
    </cfRule>
    <cfRule type="expression" dxfId="2697" priority="93">
      <formula>$C46&lt;$E$3</formula>
    </cfRule>
    <cfRule type="cellIs" dxfId="2696" priority="94" operator="equal">
      <formula>0</formula>
    </cfRule>
    <cfRule type="expression" dxfId="2695" priority="95">
      <formula>$C46&gt;$E$3</formula>
    </cfRule>
  </conditionalFormatting>
  <conditionalFormatting sqref="K46">
    <cfRule type="expression" dxfId="2694" priority="91">
      <formula>$C46&lt;$E$3</formula>
    </cfRule>
  </conditionalFormatting>
  <conditionalFormatting sqref="K46">
    <cfRule type="expression" dxfId="2693" priority="87">
      <formula>$C46=$E$3</formula>
    </cfRule>
    <cfRule type="expression" dxfId="2692" priority="88">
      <formula>$C46&lt;$E$3</formula>
    </cfRule>
    <cfRule type="cellIs" dxfId="2691" priority="89" operator="equal">
      <formula>0</formula>
    </cfRule>
    <cfRule type="expression" dxfId="2690" priority="90">
      <formula>$C46&gt;$E$3</formula>
    </cfRule>
  </conditionalFormatting>
  <conditionalFormatting sqref="K46">
    <cfRule type="expression" dxfId="2689" priority="86">
      <formula>$E46=""</formula>
    </cfRule>
  </conditionalFormatting>
  <conditionalFormatting sqref="K46">
    <cfRule type="expression" dxfId="2688" priority="85">
      <formula>$C46&lt;$E$3</formula>
    </cfRule>
  </conditionalFormatting>
  <conditionalFormatting sqref="K46">
    <cfRule type="expression" dxfId="2687" priority="84">
      <formula>$E46=""</formula>
    </cfRule>
  </conditionalFormatting>
  <conditionalFormatting sqref="K46">
    <cfRule type="expression" dxfId="2686" priority="83">
      <formula>$E46=""</formula>
    </cfRule>
  </conditionalFormatting>
  <conditionalFormatting sqref="K46">
    <cfRule type="expression" dxfId="2685" priority="82">
      <formula>$C46&lt;$E$3</formula>
    </cfRule>
  </conditionalFormatting>
  <conditionalFormatting sqref="K46">
    <cfRule type="expression" dxfId="2684" priority="81">
      <formula>$E46=""</formula>
    </cfRule>
  </conditionalFormatting>
  <conditionalFormatting sqref="K46">
    <cfRule type="expression" dxfId="2683" priority="80">
      <formula>$C46&lt;$E$3</formula>
    </cfRule>
  </conditionalFormatting>
  <conditionalFormatting sqref="K46">
    <cfRule type="expression" dxfId="2682" priority="79">
      <formula>$E46=""</formula>
    </cfRule>
  </conditionalFormatting>
  <conditionalFormatting sqref="K46">
    <cfRule type="expression" dxfId="2681" priority="77">
      <formula>$E46=""</formula>
    </cfRule>
  </conditionalFormatting>
  <conditionalFormatting sqref="K41:K45">
    <cfRule type="expression" dxfId="2680" priority="72">
      <formula>$C41=$E$3</formula>
    </cfRule>
    <cfRule type="expression" dxfId="2679" priority="73">
      <formula>$C41&lt;$E$3</formula>
    </cfRule>
    <cfRule type="cellIs" dxfId="2678" priority="74" operator="equal">
      <formula>0</formula>
    </cfRule>
    <cfRule type="expression" dxfId="2677" priority="75">
      <formula>$C41&gt;$E$3</formula>
    </cfRule>
  </conditionalFormatting>
  <conditionalFormatting sqref="K41:K45">
    <cfRule type="expression" dxfId="2676" priority="71">
      <formula>$C41&lt;$E$3</formula>
    </cfRule>
  </conditionalFormatting>
  <conditionalFormatting sqref="K41:K45">
    <cfRule type="expression" dxfId="2675" priority="67">
      <formula>$C41=$E$3</formula>
    </cfRule>
    <cfRule type="expression" dxfId="2674" priority="68">
      <formula>$C41&lt;$E$3</formula>
    </cfRule>
    <cfRule type="cellIs" dxfId="2673" priority="69" operator="equal">
      <formula>0</formula>
    </cfRule>
    <cfRule type="expression" dxfId="2672" priority="70">
      <formula>$C41&gt;$E$3</formula>
    </cfRule>
  </conditionalFormatting>
  <conditionalFormatting sqref="K41:K45">
    <cfRule type="expression" dxfId="2671" priority="66">
      <formula>$C41&lt;$E$3</formula>
    </cfRule>
  </conditionalFormatting>
  <conditionalFormatting sqref="K41:K45">
    <cfRule type="expression" dxfId="2670" priority="62">
      <formula>$C41=$E$3</formula>
    </cfRule>
    <cfRule type="expression" dxfId="2669" priority="63">
      <formula>$C41&lt;$E$3</formula>
    </cfRule>
    <cfRule type="cellIs" dxfId="2668" priority="64" operator="equal">
      <formula>0</formula>
    </cfRule>
    <cfRule type="expression" dxfId="2667" priority="65">
      <formula>$C41&gt;$E$3</formula>
    </cfRule>
  </conditionalFormatting>
  <conditionalFormatting sqref="K41:K45">
    <cfRule type="expression" dxfId="2666" priority="61">
      <formula>$C41&lt;$E$3</formula>
    </cfRule>
  </conditionalFormatting>
  <conditionalFormatting sqref="K41:K45">
    <cfRule type="expression" dxfId="2665" priority="57">
      <formula>$C41=$E$3</formula>
    </cfRule>
    <cfRule type="expression" dxfId="2664" priority="58">
      <formula>$C41&lt;$E$3</formula>
    </cfRule>
    <cfRule type="cellIs" dxfId="2663" priority="59" operator="equal">
      <formula>0</formula>
    </cfRule>
    <cfRule type="expression" dxfId="2662" priority="60">
      <formula>$C41&gt;$E$3</formula>
    </cfRule>
  </conditionalFormatting>
  <conditionalFormatting sqref="K41:K45">
    <cfRule type="expression" dxfId="2661" priority="56">
      <formula>$E41=""</formula>
    </cfRule>
  </conditionalFormatting>
  <conditionalFormatting sqref="K41:K45">
    <cfRule type="expression" dxfId="2660" priority="55">
      <formula>$C41&lt;$E$3</formula>
    </cfRule>
  </conditionalFormatting>
  <conditionalFormatting sqref="K41:K45">
    <cfRule type="expression" dxfId="2659" priority="54">
      <formula>$E41=""</formula>
    </cfRule>
  </conditionalFormatting>
  <conditionalFormatting sqref="K41:K45">
    <cfRule type="expression" dxfId="2658" priority="53">
      <formula>$E41=""</formula>
    </cfRule>
  </conditionalFormatting>
  <conditionalFormatting sqref="K41:K45">
    <cfRule type="expression" dxfId="2657" priority="52">
      <formula>$C41&lt;$E$3</formula>
    </cfRule>
  </conditionalFormatting>
  <conditionalFormatting sqref="K41:K45">
    <cfRule type="expression" dxfId="2656" priority="51">
      <formula>$E41=""</formula>
    </cfRule>
  </conditionalFormatting>
  <conditionalFormatting sqref="K41:K45">
    <cfRule type="expression" dxfId="2655" priority="50">
      <formula>$C41&lt;$E$3</formula>
    </cfRule>
  </conditionalFormatting>
  <conditionalFormatting sqref="K41:K45">
    <cfRule type="expression" dxfId="2654" priority="49">
      <formula>$E41=""</formula>
    </cfRule>
  </conditionalFormatting>
  <conditionalFormatting sqref="K41:K45">
    <cfRule type="expression" dxfId="2653" priority="47">
      <formula>$E41=""</formula>
    </cfRule>
  </conditionalFormatting>
  <conditionalFormatting sqref="K41:K45">
    <cfRule type="expression" dxfId="2652" priority="42">
      <formula>$C41=$E$3</formula>
    </cfRule>
    <cfRule type="expression" dxfId="2651" priority="43">
      <formula>$C41&lt;$E$3</formula>
    </cfRule>
    <cfRule type="cellIs" dxfId="2650" priority="44" operator="equal">
      <formula>0</formula>
    </cfRule>
    <cfRule type="expression" dxfId="2649" priority="45">
      <formula>$C41&gt;$E$3</formula>
    </cfRule>
  </conditionalFormatting>
  <conditionalFormatting sqref="K41:K45">
    <cfRule type="expression" dxfId="2648" priority="41">
      <formula>$C41&lt;$E$3</formula>
    </cfRule>
  </conditionalFormatting>
  <conditionalFormatting sqref="K41:K45">
    <cfRule type="expression" dxfId="2647" priority="37">
      <formula>$C41=$E$3</formula>
    </cfRule>
    <cfRule type="expression" dxfId="2646" priority="38">
      <formula>$C41&lt;$E$3</formula>
    </cfRule>
    <cfRule type="cellIs" dxfId="2645" priority="39" operator="equal">
      <formula>0</formula>
    </cfRule>
    <cfRule type="expression" dxfId="2644" priority="40">
      <formula>$C41&gt;$E$3</formula>
    </cfRule>
  </conditionalFormatting>
  <conditionalFormatting sqref="K41:K45">
    <cfRule type="expression" dxfId="2643" priority="36">
      <formula>$C41&lt;$E$3</formula>
    </cfRule>
  </conditionalFormatting>
  <conditionalFormatting sqref="K41:K45">
    <cfRule type="expression" dxfId="2642" priority="32">
      <formula>$C41=$E$3</formula>
    </cfRule>
    <cfRule type="expression" dxfId="2641" priority="33">
      <formula>$C41&lt;$E$3</formula>
    </cfRule>
    <cfRule type="cellIs" dxfId="2640" priority="34" operator="equal">
      <formula>0</formula>
    </cfRule>
    <cfRule type="expression" dxfId="2639" priority="35">
      <formula>$C41&gt;$E$3</formula>
    </cfRule>
  </conditionalFormatting>
  <conditionalFormatting sqref="K41:K45">
    <cfRule type="expression" dxfId="2638" priority="31">
      <formula>$C41&lt;$E$3</formula>
    </cfRule>
  </conditionalFormatting>
  <conditionalFormatting sqref="K41:K45">
    <cfRule type="expression" dxfId="2637" priority="27">
      <formula>$C41=$E$3</formula>
    </cfRule>
    <cfRule type="expression" dxfId="2636" priority="28">
      <formula>$C41&lt;$E$3</formula>
    </cfRule>
    <cfRule type="cellIs" dxfId="2635" priority="29" operator="equal">
      <formula>0</formula>
    </cfRule>
    <cfRule type="expression" dxfId="2634" priority="30">
      <formula>$C41&gt;$E$3</formula>
    </cfRule>
  </conditionalFormatting>
  <conditionalFormatting sqref="K41:K45">
    <cfRule type="expression" dxfId="2633" priority="26">
      <formula>$E41=""</formula>
    </cfRule>
  </conditionalFormatting>
  <conditionalFormatting sqref="K41:K45">
    <cfRule type="expression" dxfId="2632" priority="25">
      <formula>$C41&lt;$E$3</formula>
    </cfRule>
  </conditionalFormatting>
  <conditionalFormatting sqref="K41:K45">
    <cfRule type="expression" dxfId="2631" priority="24">
      <formula>$E41=""</formula>
    </cfRule>
  </conditionalFormatting>
  <conditionalFormatting sqref="K41:K45">
    <cfRule type="expression" dxfId="2630" priority="23">
      <formula>$E41=""</formula>
    </cfRule>
  </conditionalFormatting>
  <conditionalFormatting sqref="K41:K45">
    <cfRule type="expression" dxfId="2629" priority="22">
      <formula>$C41&lt;$E$3</formula>
    </cfRule>
  </conditionalFormatting>
  <conditionalFormatting sqref="K41:K45">
    <cfRule type="expression" dxfId="2628" priority="21">
      <formula>$E41=""</formula>
    </cfRule>
  </conditionalFormatting>
  <conditionalFormatting sqref="K41:K45">
    <cfRule type="expression" dxfId="2627" priority="20">
      <formula>$C41&lt;$E$3</formula>
    </cfRule>
  </conditionalFormatting>
  <conditionalFormatting sqref="K41:K45">
    <cfRule type="expression" dxfId="2626" priority="19">
      <formula>$E41=""</formula>
    </cfRule>
  </conditionalFormatting>
  <conditionalFormatting sqref="K41:K45">
    <cfRule type="expression" dxfId="2625" priority="17">
      <formula>$E41=""</formula>
    </cfRule>
  </conditionalFormatting>
  <conditionalFormatting sqref="K41:K47">
    <cfRule type="expression" dxfId="2624" priority="15">
      <formula>$C41&lt;$E$3</formula>
    </cfRule>
  </conditionalFormatting>
  <conditionalFormatting sqref="K41:K47">
    <cfRule type="expression" dxfId="2623" priority="12">
      <formula>$C41=$E$3</formula>
    </cfRule>
    <cfRule type="expression" dxfId="2622" priority="13">
      <formula>$C41&lt;$E$3</formula>
    </cfRule>
    <cfRule type="cellIs" dxfId="2621" priority="14" operator="equal">
      <formula>0</formula>
    </cfRule>
    <cfRule type="expression" dxfId="2620" priority="16">
      <formula>$C41&gt;$E$3</formula>
    </cfRule>
  </conditionalFormatting>
  <conditionalFormatting sqref="K41:K47">
    <cfRule type="expression" dxfId="2619" priority="11">
      <formula>$E41=""</formula>
    </cfRule>
  </conditionalFormatting>
  <conditionalFormatting sqref="K41:K47">
    <cfRule type="expression" dxfId="2618" priority="10">
      <formula>$E41=""</formula>
    </cfRule>
  </conditionalFormatting>
  <conditionalFormatting sqref="K41:K47">
    <cfRule type="expression" dxfId="2617" priority="9">
      <formula>$E41=""</formula>
    </cfRule>
  </conditionalFormatting>
  <conditionalFormatting sqref="N20 N18 N16">
    <cfRule type="cellIs" dxfId="2616" priority="8" stopIfTrue="1" operator="lessThan">
      <formula>0</formula>
    </cfRule>
  </conditionalFormatting>
  <conditionalFormatting sqref="N23 N27:N28">
    <cfRule type="cellIs" dxfId="2615" priority="7" stopIfTrue="1" operator="lessThan">
      <formula>0</formula>
    </cfRule>
  </conditionalFormatting>
  <conditionalFormatting sqref="N32:N34 N36 N38">
    <cfRule type="cellIs" dxfId="2614" priority="6" stopIfTrue="1" operator="lessThan">
      <formula>0</formula>
    </cfRule>
  </conditionalFormatting>
  <conditionalFormatting sqref="N41:N47">
    <cfRule type="cellIs" dxfId="2613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autoPageBreaks="0"/>
  </sheetPr>
  <dimension ref="A1"/>
  <sheetViews>
    <sheetView workbookViewId="0"/>
  </sheetViews>
  <sheetFormatPr baseColWidth="10" defaultColWidth="11" defaultRowHeight="16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autoPageBreaks="0"/>
  </sheetPr>
  <dimension ref="A1:AY67"/>
  <sheetViews>
    <sheetView workbookViewId="0">
      <selection activeCell="H9" sqref="H9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8.1640625" customWidth="1"/>
    <col min="11" max="11" width="8.1640625" hidden="1" customWidth="1"/>
    <col min="12" max="12" width="8.16406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1" width="10.33203125" bestFit="1" customWidth="1"/>
    <col min="33" max="33" width="10.6640625" bestFit="1" customWidth="1"/>
  </cols>
  <sheetData>
    <row r="1" spans="1:51" ht="53.25" customHeight="1" thickBot="1">
      <c r="A1" s="176">
        <v>11</v>
      </c>
      <c r="B1" s="40" t="s">
        <v>0</v>
      </c>
      <c r="C1" s="41"/>
      <c r="D1" s="41"/>
      <c r="E1" s="193" t="str">
        <f>VLOOKUP(A1,'MY STATS'!$B$32:$E$43,4)</f>
        <v>Nov.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285" t="s">
        <v>25</v>
      </c>
      <c r="P1" s="201" t="s">
        <v>26</v>
      </c>
      <c r="Q1" s="201" t="s">
        <v>26</v>
      </c>
      <c r="R1" s="332" t="s">
        <v>32</v>
      </c>
      <c r="S1" s="333" t="s">
        <v>115</v>
      </c>
      <c r="T1" s="332"/>
      <c r="U1" s="332"/>
      <c r="V1" s="332" t="s">
        <v>84</v>
      </c>
      <c r="W1" s="332" t="s">
        <v>85</v>
      </c>
      <c r="X1" s="201" t="s">
        <v>24</v>
      </c>
      <c r="Y1" s="201" t="s">
        <v>21</v>
      </c>
      <c r="Z1" s="201" t="s">
        <v>22</v>
      </c>
      <c r="AA1" s="78" t="s">
        <v>23</v>
      </c>
      <c r="AB1" s="76"/>
      <c r="AC1" s="76"/>
      <c r="AD1" s="76"/>
      <c r="AE1" s="76"/>
      <c r="AF1" s="76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</row>
    <row r="2" spans="1:51" ht="36" hidden="1" thickTop="1" thickBot="1">
      <c r="A2" s="54" t="s">
        <v>64</v>
      </c>
      <c r="B2" s="21">
        <f>VLOOKUP(A1,'MY STATS'!$B$32:$G$43,3)</f>
        <v>45597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334"/>
      <c r="P2" s="76"/>
      <c r="Q2" s="76"/>
      <c r="R2" s="340">
        <f>'MY STATS'!A16</f>
        <v>3</v>
      </c>
      <c r="S2" s="340"/>
      <c r="T2" s="340"/>
      <c r="U2" s="340"/>
      <c r="V2" s="340"/>
      <c r="W2" s="340"/>
      <c r="X2" s="76"/>
      <c r="Y2" s="76"/>
      <c r="Z2" s="77"/>
      <c r="AA2" s="77"/>
      <c r="AB2" s="76"/>
      <c r="AC2" s="76"/>
      <c r="AD2" s="76"/>
      <c r="AE2" s="76"/>
      <c r="AF2" s="76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</row>
    <row r="3" spans="1:51" ht="18" hidden="1" thickTop="1" thickBot="1">
      <c r="A3" s="75">
        <f>'MY STATS'!D44</f>
        <v>45658</v>
      </c>
      <c r="B3" s="21">
        <f>VLOOKUP(A1+1,'MY STATS'!$B$32:$G$44,3)-1</f>
        <v>45626</v>
      </c>
      <c r="C3" s="21">
        <f>VLOOKUP(A1,'MY STATS'!$B$32:$G$43,2)</f>
        <v>45593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334"/>
      <c r="P3" s="76"/>
      <c r="Q3" s="76"/>
      <c r="R3" s="340"/>
      <c r="S3" s="340"/>
      <c r="T3" s="340"/>
      <c r="U3" s="340"/>
      <c r="V3" s="340"/>
      <c r="W3" s="340"/>
      <c r="X3" s="76"/>
      <c r="Y3" s="76"/>
      <c r="Z3" s="77"/>
      <c r="AA3" s="77"/>
      <c r="AB3" s="76"/>
      <c r="AC3" s="76"/>
      <c r="AD3" s="76"/>
      <c r="AE3" s="76"/>
      <c r="AF3" s="76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</row>
    <row r="4" spans="1:51" ht="1" customHeight="1" thickTop="1" thickBot="1">
      <c r="A4"/>
      <c r="C4" s="28">
        <f>C3-1</f>
        <v>45592</v>
      </c>
      <c r="D4"/>
      <c r="O4" s="335"/>
      <c r="P4" s="249">
        <f t="shared" ref="P4:P11" si="0">H$56</f>
        <v>201827.05669709216</v>
      </c>
      <c r="Q4" s="341">
        <f>IF(R$2=3,P4,IF(R$2=2,P4*1.0936,IF(R$2=1,P4*0.000568181818*1.0936133,"")))</f>
        <v>201827.05669709216</v>
      </c>
      <c r="R4" s="286"/>
      <c r="S4" s="286"/>
      <c r="T4" s="286"/>
      <c r="U4" s="286"/>
      <c r="V4" s="286"/>
      <c r="W4" s="286"/>
      <c r="X4" s="249"/>
      <c r="Y4" s="249"/>
      <c r="Z4" s="198">
        <v>0</v>
      </c>
      <c r="AA4" s="77"/>
      <c r="AB4" s="76">
        <v>0</v>
      </c>
      <c r="AC4" s="76"/>
      <c r="AD4" s="76"/>
      <c r="AE4" s="76"/>
      <c r="AF4" s="76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</row>
    <row r="5" spans="1:51">
      <c r="A5" s="22"/>
      <c r="B5" s="19">
        <f>IF(B$2&gt;C5,0,C5)</f>
        <v>0</v>
      </c>
      <c r="C5" s="28">
        <f>C3</f>
        <v>45593</v>
      </c>
      <c r="D5" s="20">
        <f t="shared" ref="D5:D51" ca="1" si="1">TODAY()-C5</f>
        <v>-302</v>
      </c>
      <c r="E5" s="91" t="str">
        <f>IF(B5=0,"","Monday")</f>
        <v/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98" t="str">
        <f t="shared" ref="O5:O51" si="3">IF(B5=0,"",(F$3-G$3)/(A$3-B$2)+0.1)</f>
        <v/>
      </c>
      <c r="P5" s="249">
        <f t="shared" si="0"/>
        <v>201827.05669709216</v>
      </c>
      <c r="Q5" s="341">
        <f t="shared" ref="Q5:Q51" si="4">IF(R$2=3,P5,IF(R$2=2,P5*1.0936,IF(R$2=1,P5*0.000568181818*1.0936133,"")))</f>
        <v>201827.05669709216</v>
      </c>
      <c r="R5" s="341">
        <f>IF(R$2=3,H5+G5/1.0936133+F5/0.0006213712,IF(R$2=2,H5*1.0936133+G5+F5/0.0005681818,IF(R$2=1,H5*0.0005681818*1.0936133+G5*0.0005681818+F5,"")))</f>
        <v>0</v>
      </c>
      <c r="S5" s="342" t="str">
        <f>IF(R5=0,"",R5*IF(L5&gt;0,1,0))</f>
        <v/>
      </c>
      <c r="T5" s="341"/>
      <c r="U5" s="341"/>
      <c r="V5" s="343" t="str">
        <f t="shared" ref="V5:V11" si="5">IF(L5="","",IF(R5=0,"",IF(B5=0,"",IF($R$2=3,R5/L5*60/1000,IF($R$2=2,R5/L5*60/1760,IF($R$2=1,R5/L5*60,""))))))</f>
        <v/>
      </c>
      <c r="W5" s="343" t="str">
        <f t="shared" ref="W5:W11" si="6">IF(R5=0,"",IF(L5="","",V5*L5))</f>
        <v/>
      </c>
      <c r="X5" s="198">
        <f t="shared" ref="X5:Z11" si="7">F5+X4</f>
        <v>0</v>
      </c>
      <c r="Y5" s="198">
        <f t="shared" si="7"/>
        <v>0</v>
      </c>
      <c r="Z5" s="198">
        <f t="shared" si="7"/>
        <v>0</v>
      </c>
      <c r="AA5" s="337">
        <f t="shared" ref="AA5:AA51" si="8">Z5/1000+Y5/1093.6133+X5/0.621371192</f>
        <v>0</v>
      </c>
      <c r="AB5" s="338">
        <f>R5</f>
        <v>0</v>
      </c>
      <c r="AC5" s="76"/>
      <c r="AD5" s="76"/>
      <c r="AE5" s="76"/>
      <c r="AF5" s="76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</row>
    <row r="6" spans="1:51">
      <c r="A6" s="23"/>
      <c r="B6" s="4">
        <f t="shared" ref="B6:B11" si="9">IF(B$2&gt;C6,0,C6)</f>
        <v>0</v>
      </c>
      <c r="C6" s="29">
        <f>C3+1</f>
        <v>45594</v>
      </c>
      <c r="D6" s="6">
        <f t="shared" ca="1" si="1"/>
        <v>-303</v>
      </c>
      <c r="E6" s="90" t="str">
        <f>IF(B6=0,"","Tuesday")</f>
        <v/>
      </c>
      <c r="F6" s="45"/>
      <c r="G6" s="46"/>
      <c r="H6" s="46"/>
      <c r="I6" s="151"/>
      <c r="J6" s="46"/>
      <c r="K6" s="152" t="str">
        <f t="shared" ref="K6:K11" si="10">IF(R6=0,"",IF(L6="","",J6))</f>
        <v/>
      </c>
      <c r="L6" s="46"/>
      <c r="M6" s="46" t="str">
        <f t="shared" si="2"/>
        <v/>
      </c>
      <c r="N6" s="301"/>
      <c r="O6" s="198" t="str">
        <f t="shared" si="3"/>
        <v/>
      </c>
      <c r="P6" s="249">
        <f t="shared" si="0"/>
        <v>201827.05669709216</v>
      </c>
      <c r="Q6" s="341">
        <f t="shared" si="4"/>
        <v>201827.05669709216</v>
      </c>
      <c r="R6" s="341">
        <f t="shared" ref="R6:R11" si="11">IF(R$2=3,H6+G6/1.0936133+F6/0.0006213712,IF(R$2=2,H6*1.0936133+G6+F6/0.0005681818,IF(R$2=1,H6*0.0005681818*1.0936133+G6*0.0005681818+F6,"")))</f>
        <v>0</v>
      </c>
      <c r="S6" s="342" t="str">
        <f t="shared" ref="S6:S51" si="12">IF(R6=0,"",R6*IF(L6&gt;0,1,0))</f>
        <v/>
      </c>
      <c r="T6" s="341"/>
      <c r="U6" s="341"/>
      <c r="V6" s="343" t="str">
        <f t="shared" si="5"/>
        <v/>
      </c>
      <c r="W6" s="343" t="str">
        <f t="shared" si="6"/>
        <v/>
      </c>
      <c r="X6" s="198">
        <f t="shared" si="7"/>
        <v>0</v>
      </c>
      <c r="Y6" s="198">
        <f t="shared" si="7"/>
        <v>0</v>
      </c>
      <c r="Z6" s="198">
        <f t="shared" si="7"/>
        <v>0</v>
      </c>
      <c r="AA6" s="337">
        <f t="shared" si="8"/>
        <v>0</v>
      </c>
      <c r="AB6" s="199">
        <f t="shared" ref="AB6:AB51" si="13">AB5+R6</f>
        <v>0</v>
      </c>
      <c r="AC6" s="76"/>
      <c r="AD6" s="76"/>
      <c r="AE6" s="76"/>
      <c r="AF6" s="76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</row>
    <row r="7" spans="1:51">
      <c r="A7" s="23"/>
      <c r="B7" s="4">
        <f t="shared" si="9"/>
        <v>0</v>
      </c>
      <c r="C7" s="29">
        <f>C3+2</f>
        <v>45595</v>
      </c>
      <c r="D7" s="6">
        <f t="shared" ca="1" si="1"/>
        <v>-304</v>
      </c>
      <c r="E7" s="90" t="str">
        <f>IF(B7=0,"","Wednesday")</f>
        <v/>
      </c>
      <c r="F7" s="45"/>
      <c r="G7" s="46"/>
      <c r="H7" s="46"/>
      <c r="I7" s="151"/>
      <c r="J7" s="46"/>
      <c r="K7" s="152" t="str">
        <f t="shared" si="10"/>
        <v/>
      </c>
      <c r="L7" s="46"/>
      <c r="M7" s="46" t="str">
        <f t="shared" si="2"/>
        <v/>
      </c>
      <c r="N7" s="310"/>
      <c r="O7" s="198" t="str">
        <f t="shared" si="3"/>
        <v/>
      </c>
      <c r="P7" s="249">
        <f t="shared" si="0"/>
        <v>201827.05669709216</v>
      </c>
      <c r="Q7" s="341">
        <f t="shared" si="4"/>
        <v>201827.05669709216</v>
      </c>
      <c r="R7" s="341">
        <f t="shared" si="11"/>
        <v>0</v>
      </c>
      <c r="S7" s="342" t="str">
        <f t="shared" si="12"/>
        <v/>
      </c>
      <c r="T7" s="341"/>
      <c r="U7" s="341"/>
      <c r="V7" s="343" t="str">
        <f t="shared" si="5"/>
        <v/>
      </c>
      <c r="W7" s="343" t="str">
        <f t="shared" si="6"/>
        <v/>
      </c>
      <c r="X7" s="198">
        <f t="shared" si="7"/>
        <v>0</v>
      </c>
      <c r="Y7" s="198">
        <f t="shared" si="7"/>
        <v>0</v>
      </c>
      <c r="Z7" s="198">
        <f t="shared" si="7"/>
        <v>0</v>
      </c>
      <c r="AA7" s="337">
        <f t="shared" si="8"/>
        <v>0</v>
      </c>
      <c r="AB7" s="199">
        <f t="shared" si="13"/>
        <v>0</v>
      </c>
      <c r="AC7" s="76"/>
      <c r="AD7" s="76"/>
      <c r="AE7" s="76"/>
      <c r="AF7" s="76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</row>
    <row r="8" spans="1:51">
      <c r="A8" s="23"/>
      <c r="B8" s="4">
        <f t="shared" si="9"/>
        <v>0</v>
      </c>
      <c r="C8" s="29">
        <f>C3+3</f>
        <v>45596</v>
      </c>
      <c r="D8" s="6">
        <f t="shared" ca="1" si="1"/>
        <v>-305</v>
      </c>
      <c r="E8" s="90" t="str">
        <f>IF(B8=0,"","Thursday")</f>
        <v/>
      </c>
      <c r="F8" s="45"/>
      <c r="G8" s="46"/>
      <c r="H8" s="46"/>
      <c r="I8" s="151"/>
      <c r="J8" s="46"/>
      <c r="K8" s="152" t="str">
        <f t="shared" si="10"/>
        <v/>
      </c>
      <c r="L8" s="46"/>
      <c r="M8" s="46" t="str">
        <f t="shared" si="2"/>
        <v/>
      </c>
      <c r="N8" s="310"/>
      <c r="O8" s="198" t="str">
        <f t="shared" si="3"/>
        <v/>
      </c>
      <c r="P8" s="249">
        <f t="shared" si="0"/>
        <v>201827.05669709216</v>
      </c>
      <c r="Q8" s="341">
        <f t="shared" si="4"/>
        <v>201827.05669709216</v>
      </c>
      <c r="R8" s="341">
        <f t="shared" si="11"/>
        <v>0</v>
      </c>
      <c r="S8" s="342" t="str">
        <f t="shared" si="12"/>
        <v/>
      </c>
      <c r="T8" s="341"/>
      <c r="U8" s="341"/>
      <c r="V8" s="343" t="str">
        <f t="shared" si="5"/>
        <v/>
      </c>
      <c r="W8" s="343" t="str">
        <f t="shared" si="6"/>
        <v/>
      </c>
      <c r="X8" s="198">
        <f t="shared" si="7"/>
        <v>0</v>
      </c>
      <c r="Y8" s="198">
        <f t="shared" si="7"/>
        <v>0</v>
      </c>
      <c r="Z8" s="198">
        <f t="shared" si="7"/>
        <v>0</v>
      </c>
      <c r="AA8" s="337">
        <f t="shared" si="8"/>
        <v>0</v>
      </c>
      <c r="AB8" s="199">
        <f t="shared" si="13"/>
        <v>0</v>
      </c>
      <c r="AC8" s="76"/>
      <c r="AD8" s="76"/>
      <c r="AE8" s="76"/>
      <c r="AF8" s="76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</row>
    <row r="9" spans="1:51">
      <c r="A9" s="23"/>
      <c r="B9" s="4">
        <f t="shared" si="9"/>
        <v>45597</v>
      </c>
      <c r="C9" s="29">
        <f>C3+4</f>
        <v>45597</v>
      </c>
      <c r="D9" s="6">
        <f t="shared" ca="1" si="1"/>
        <v>-306</v>
      </c>
      <c r="E9" s="90" t="str">
        <f>IF(B9=0,"","Friday")</f>
        <v>Friday</v>
      </c>
      <c r="F9" s="45"/>
      <c r="G9" s="46"/>
      <c r="H9" s="46"/>
      <c r="I9" s="151"/>
      <c r="J9" s="46"/>
      <c r="K9" s="152" t="str">
        <f t="shared" si="10"/>
        <v/>
      </c>
      <c r="L9" s="46"/>
      <c r="M9" s="46" t="str">
        <f t="shared" si="2"/>
        <v/>
      </c>
      <c r="N9" s="301"/>
      <c r="O9" s="198">
        <f t="shared" si="3"/>
        <v>6727.6855656973885</v>
      </c>
      <c r="P9" s="249">
        <f t="shared" si="0"/>
        <v>201827.05669709216</v>
      </c>
      <c r="Q9" s="341">
        <f t="shared" si="4"/>
        <v>201827.05669709216</v>
      </c>
      <c r="R9" s="341">
        <f t="shared" si="11"/>
        <v>0</v>
      </c>
      <c r="S9" s="342" t="str">
        <f t="shared" si="12"/>
        <v/>
      </c>
      <c r="T9" s="341"/>
      <c r="U9" s="341"/>
      <c r="V9" s="343" t="str">
        <f t="shared" si="5"/>
        <v/>
      </c>
      <c r="W9" s="343" t="str">
        <f t="shared" si="6"/>
        <v/>
      </c>
      <c r="X9" s="198">
        <f t="shared" si="7"/>
        <v>0</v>
      </c>
      <c r="Y9" s="198">
        <f t="shared" si="7"/>
        <v>0</v>
      </c>
      <c r="Z9" s="198">
        <f t="shared" si="7"/>
        <v>0</v>
      </c>
      <c r="AA9" s="337">
        <f t="shared" si="8"/>
        <v>0</v>
      </c>
      <c r="AB9" s="199">
        <f t="shared" si="13"/>
        <v>0</v>
      </c>
      <c r="AC9" s="76"/>
      <c r="AD9" s="76"/>
      <c r="AE9" s="76"/>
      <c r="AF9" s="76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</row>
    <row r="10" spans="1:51">
      <c r="A10" s="23"/>
      <c r="B10" s="4">
        <f t="shared" si="9"/>
        <v>45598</v>
      </c>
      <c r="C10" s="29">
        <f>C3+5</f>
        <v>45598</v>
      </c>
      <c r="D10" s="6">
        <f t="shared" ca="1" si="1"/>
        <v>-307</v>
      </c>
      <c r="E10" s="90" t="str">
        <f>IF(B10=0,"","Saturday")</f>
        <v>Saturday</v>
      </c>
      <c r="F10" s="45"/>
      <c r="G10" s="46"/>
      <c r="H10" s="46"/>
      <c r="I10" s="151"/>
      <c r="J10" s="46"/>
      <c r="K10" s="152" t="str">
        <f t="shared" si="10"/>
        <v/>
      </c>
      <c r="L10" s="46"/>
      <c r="M10" s="46" t="str">
        <f t="shared" si="2"/>
        <v/>
      </c>
      <c r="N10" s="310"/>
      <c r="O10" s="198">
        <f t="shared" si="3"/>
        <v>6727.6855656973885</v>
      </c>
      <c r="P10" s="249">
        <f t="shared" si="0"/>
        <v>201827.05669709216</v>
      </c>
      <c r="Q10" s="341">
        <f t="shared" si="4"/>
        <v>201827.05669709216</v>
      </c>
      <c r="R10" s="341">
        <f t="shared" si="11"/>
        <v>0</v>
      </c>
      <c r="S10" s="342" t="str">
        <f t="shared" si="12"/>
        <v/>
      </c>
      <c r="T10" s="341"/>
      <c r="U10" s="341"/>
      <c r="V10" s="343" t="str">
        <f t="shared" si="5"/>
        <v/>
      </c>
      <c r="W10" s="343" t="str">
        <f t="shared" si="6"/>
        <v/>
      </c>
      <c r="X10" s="198">
        <f t="shared" si="7"/>
        <v>0</v>
      </c>
      <c r="Y10" s="198">
        <f t="shared" si="7"/>
        <v>0</v>
      </c>
      <c r="Z10" s="198">
        <f t="shared" si="7"/>
        <v>0</v>
      </c>
      <c r="AA10" s="337">
        <f t="shared" si="8"/>
        <v>0</v>
      </c>
      <c r="AB10" s="199">
        <f t="shared" si="13"/>
        <v>0</v>
      </c>
      <c r="AC10" s="76"/>
      <c r="AD10" s="76"/>
      <c r="AE10" s="76"/>
      <c r="AF10" s="76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</row>
    <row r="11" spans="1:51" ht="17" thickBot="1">
      <c r="A11" s="23"/>
      <c r="B11" s="43">
        <f t="shared" si="9"/>
        <v>45599</v>
      </c>
      <c r="C11" s="32">
        <f>C3+6</f>
        <v>45599</v>
      </c>
      <c r="D11" s="44">
        <f t="shared" ca="1" si="1"/>
        <v>-308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0"/>
        <v/>
      </c>
      <c r="L11" s="46"/>
      <c r="M11" s="46" t="str">
        <f t="shared" si="2"/>
        <v/>
      </c>
      <c r="N11" s="310"/>
      <c r="O11" s="198">
        <f t="shared" si="3"/>
        <v>6727.6855656973885</v>
      </c>
      <c r="P11" s="249">
        <f t="shared" si="0"/>
        <v>201827.05669709216</v>
      </c>
      <c r="Q11" s="341">
        <f t="shared" si="4"/>
        <v>201827.05669709216</v>
      </c>
      <c r="R11" s="341">
        <f t="shared" si="11"/>
        <v>0</v>
      </c>
      <c r="S11" s="342" t="str">
        <f t="shared" si="12"/>
        <v/>
      </c>
      <c r="T11" s="341"/>
      <c r="U11" s="341"/>
      <c r="V11" s="343" t="str">
        <f t="shared" si="5"/>
        <v/>
      </c>
      <c r="W11" s="343" t="str">
        <f t="shared" si="6"/>
        <v/>
      </c>
      <c r="X11" s="198">
        <f t="shared" si="7"/>
        <v>0</v>
      </c>
      <c r="Y11" s="198">
        <f t="shared" si="7"/>
        <v>0</v>
      </c>
      <c r="Z11" s="198">
        <f t="shared" si="7"/>
        <v>0</v>
      </c>
      <c r="AA11" s="337">
        <f t="shared" si="8"/>
        <v>0</v>
      </c>
      <c r="AB11" s="199">
        <f t="shared" si="13"/>
        <v>0</v>
      </c>
      <c r="AC11" s="76"/>
      <c r="AD11" s="76"/>
      <c r="AE11" s="76"/>
      <c r="AF11" s="76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</row>
    <row r="12" spans="1:51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98" t="str">
        <f t="shared" si="3"/>
        <v/>
      </c>
      <c r="P12" s="249"/>
      <c r="Q12" s="341">
        <f t="shared" si="4"/>
        <v>0</v>
      </c>
      <c r="R12" s="339"/>
      <c r="S12" s="342" t="str">
        <f t="shared" si="12"/>
        <v/>
      </c>
      <c r="T12" s="339"/>
      <c r="U12" s="339"/>
      <c r="V12" s="339"/>
      <c r="W12" s="339"/>
      <c r="X12" s="249"/>
      <c r="Y12" s="249"/>
      <c r="Z12" s="77"/>
      <c r="AA12" s="337">
        <f t="shared" si="8"/>
        <v>0</v>
      </c>
      <c r="AB12" s="199">
        <f t="shared" si="13"/>
        <v>0</v>
      </c>
      <c r="AC12" s="76"/>
      <c r="AD12" s="76"/>
      <c r="AE12" s="76"/>
      <c r="AF12" s="76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</row>
    <row r="13" spans="1:51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12.541146685320038</v>
      </c>
      <c r="G13" s="53">
        <f>H13*1.0936113</f>
        <v>22072.41887248067</v>
      </c>
      <c r="H13" s="103">
        <f>SUM($O5:$O11)</f>
        <v>20183.056697092165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98" t="str">
        <f t="shared" si="3"/>
        <v/>
      </c>
      <c r="P13" s="249"/>
      <c r="Q13" s="341">
        <f t="shared" si="4"/>
        <v>0</v>
      </c>
      <c r="R13" s="336"/>
      <c r="S13" s="342" t="str">
        <f t="shared" si="12"/>
        <v/>
      </c>
      <c r="T13" s="336"/>
      <c r="U13" s="336"/>
      <c r="V13" s="336"/>
      <c r="W13" s="336"/>
      <c r="X13" s="249"/>
      <c r="Y13" s="249"/>
      <c r="Z13" s="77"/>
      <c r="AA13" s="337">
        <f t="shared" si="8"/>
        <v>0</v>
      </c>
      <c r="AB13" s="199">
        <f t="shared" si="13"/>
        <v>0</v>
      </c>
      <c r="AC13" s="76"/>
      <c r="AD13" s="76"/>
      <c r="AE13" s="76"/>
      <c r="AF13" s="76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</row>
    <row r="14" spans="1:51" ht="17" thickTop="1">
      <c r="A14" s="1"/>
      <c r="B14" s="47">
        <f t="shared" ref="B14:B20" si="14">IF(B$2&gt;C14,0,C14)</f>
        <v>45600</v>
      </c>
      <c r="C14" s="31">
        <f>C11+1</f>
        <v>45600</v>
      </c>
      <c r="D14" s="18">
        <f t="shared" ca="1" si="1"/>
        <v>-309</v>
      </c>
      <c r="E14" s="94" t="s">
        <v>1</v>
      </c>
      <c r="F14" s="45"/>
      <c r="G14" s="46"/>
      <c r="H14" s="46"/>
      <c r="I14" s="109"/>
      <c r="J14" s="101"/>
      <c r="K14" s="152" t="str">
        <f t="shared" ref="K14:K20" si="15">IF(R14=0,"",IF(L14="","",J14))</f>
        <v/>
      </c>
      <c r="L14" s="101"/>
      <c r="M14" s="46" t="str">
        <f t="shared" ref="M14:M20" si="16">IF(R14=0,"",IF(J14="","",L14))</f>
        <v/>
      </c>
      <c r="N14" s="310"/>
      <c r="O14" s="198">
        <f t="shared" si="3"/>
        <v>6727.6855656973885</v>
      </c>
      <c r="P14" s="249">
        <f t="shared" ref="P14:P20" si="17">H$56</f>
        <v>201827.05669709216</v>
      </c>
      <c r="Q14" s="341">
        <f t="shared" si="4"/>
        <v>201827.05669709216</v>
      </c>
      <c r="R14" s="341">
        <f>IF(R$2=3,H14+G14/1.0936133+F14/0.0006213712,IF(R$2=2,H14*1.0936133+G14+F14/0.0005681818,IF(R$2=1,H14*0.0005681818*1.0936133+G14*0.0005681818+F14,"")))</f>
        <v>0</v>
      </c>
      <c r="S14" s="342" t="str">
        <f t="shared" si="12"/>
        <v/>
      </c>
      <c r="T14" s="341"/>
      <c r="U14" s="341"/>
      <c r="V14" s="343" t="str">
        <f t="shared" ref="V14:V20" si="18">IF(L14="","",IF(R14=0,"",IF(B14=0,"",IF($R$2=3,R14/L14*60/1000,IF($R$2=2,R14/L14*60/1760,IF($R$2=1,R14/L14*60,""))))))</f>
        <v/>
      </c>
      <c r="W14" s="343" t="str">
        <f t="shared" ref="W14:W20" si="19">IF(R14=0,"",IF(L14="","",V14*L14))</f>
        <v/>
      </c>
      <c r="X14" s="198">
        <f>F14+X11</f>
        <v>0</v>
      </c>
      <c r="Y14" s="198">
        <f>G14+Y11</f>
        <v>0</v>
      </c>
      <c r="Z14" s="198">
        <f>H14+Z11</f>
        <v>0</v>
      </c>
      <c r="AA14" s="337">
        <f t="shared" si="8"/>
        <v>0</v>
      </c>
      <c r="AB14" s="199">
        <f t="shared" si="13"/>
        <v>0</v>
      </c>
      <c r="AC14" s="76"/>
      <c r="AD14" s="76"/>
      <c r="AE14" s="76"/>
      <c r="AF14" s="76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</row>
    <row r="15" spans="1:51">
      <c r="A15" s="1"/>
      <c r="B15" s="4">
        <f t="shared" si="14"/>
        <v>45601</v>
      </c>
      <c r="C15" s="29">
        <f t="shared" ref="C15:C20" si="20">C14+1</f>
        <v>45601</v>
      </c>
      <c r="D15" s="6">
        <f t="shared" ca="1" si="1"/>
        <v>-310</v>
      </c>
      <c r="E15" s="90" t="s">
        <v>2</v>
      </c>
      <c r="F15" s="45"/>
      <c r="G15" s="46"/>
      <c r="H15" s="46"/>
      <c r="I15" s="151"/>
      <c r="J15" s="46"/>
      <c r="K15" s="152" t="str">
        <f t="shared" si="15"/>
        <v/>
      </c>
      <c r="L15" s="46"/>
      <c r="M15" s="46" t="str">
        <f t="shared" si="16"/>
        <v/>
      </c>
      <c r="N15" s="310"/>
      <c r="O15" s="198">
        <f t="shared" si="3"/>
        <v>6727.6855656973885</v>
      </c>
      <c r="P15" s="249">
        <f t="shared" si="17"/>
        <v>201827.05669709216</v>
      </c>
      <c r="Q15" s="341">
        <f t="shared" si="4"/>
        <v>201827.05669709216</v>
      </c>
      <c r="R15" s="341">
        <f t="shared" ref="R15:R20" si="21">IF(R$2=3,H15+G15/1.0936133+F15/0.0006213712,IF(R$2=2,H15*1.0936133+G15+F15/0.0005681818,IF(R$2=1,H15*0.0005681818*1.0936133+G15*0.0005681818+F15,"")))</f>
        <v>0</v>
      </c>
      <c r="S15" s="342" t="str">
        <f t="shared" si="12"/>
        <v/>
      </c>
      <c r="T15" s="341"/>
      <c r="U15" s="341"/>
      <c r="V15" s="343" t="str">
        <f t="shared" si="18"/>
        <v/>
      </c>
      <c r="W15" s="343" t="str">
        <f t="shared" si="19"/>
        <v/>
      </c>
      <c r="X15" s="198">
        <f t="shared" ref="X15:Z20" si="22">F15+X14</f>
        <v>0</v>
      </c>
      <c r="Y15" s="198">
        <f t="shared" si="22"/>
        <v>0</v>
      </c>
      <c r="Z15" s="198">
        <f t="shared" si="22"/>
        <v>0</v>
      </c>
      <c r="AA15" s="337">
        <f t="shared" si="8"/>
        <v>0</v>
      </c>
      <c r="AB15" s="199">
        <f t="shared" si="13"/>
        <v>0</v>
      </c>
      <c r="AC15" s="76"/>
      <c r="AD15" s="76"/>
      <c r="AE15" s="76"/>
      <c r="AF15" s="76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</row>
    <row r="16" spans="1:51">
      <c r="A16" s="1"/>
      <c r="B16" s="4">
        <f t="shared" si="14"/>
        <v>45602</v>
      </c>
      <c r="C16" s="29">
        <f t="shared" si="20"/>
        <v>45602</v>
      </c>
      <c r="D16" s="6">
        <f t="shared" ca="1" si="1"/>
        <v>-311</v>
      </c>
      <c r="E16" s="90" t="s">
        <v>3</v>
      </c>
      <c r="F16" s="45"/>
      <c r="G16" s="46"/>
      <c r="H16" s="46"/>
      <c r="I16" s="151"/>
      <c r="J16" s="46"/>
      <c r="K16" s="152" t="str">
        <f t="shared" si="15"/>
        <v/>
      </c>
      <c r="L16" s="46"/>
      <c r="M16" s="46" t="str">
        <f t="shared" si="16"/>
        <v/>
      </c>
      <c r="N16" s="301"/>
      <c r="O16" s="198">
        <f t="shared" si="3"/>
        <v>6727.6855656973885</v>
      </c>
      <c r="P16" s="249">
        <f t="shared" si="17"/>
        <v>201827.05669709216</v>
      </c>
      <c r="Q16" s="341">
        <f t="shared" si="4"/>
        <v>201827.05669709216</v>
      </c>
      <c r="R16" s="341">
        <f t="shared" si="21"/>
        <v>0</v>
      </c>
      <c r="S16" s="342" t="str">
        <f t="shared" si="12"/>
        <v/>
      </c>
      <c r="T16" s="341"/>
      <c r="U16" s="341"/>
      <c r="V16" s="343" t="str">
        <f t="shared" si="18"/>
        <v/>
      </c>
      <c r="W16" s="343" t="str">
        <f t="shared" si="19"/>
        <v/>
      </c>
      <c r="X16" s="198">
        <f t="shared" si="22"/>
        <v>0</v>
      </c>
      <c r="Y16" s="198">
        <f t="shared" si="22"/>
        <v>0</v>
      </c>
      <c r="Z16" s="198">
        <f t="shared" si="22"/>
        <v>0</v>
      </c>
      <c r="AA16" s="337">
        <f t="shared" si="8"/>
        <v>0</v>
      </c>
      <c r="AB16" s="199">
        <f t="shared" si="13"/>
        <v>0</v>
      </c>
      <c r="AC16" s="76"/>
      <c r="AD16" s="76"/>
      <c r="AE16" s="76"/>
      <c r="AF16" s="76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</row>
    <row r="17" spans="1:51">
      <c r="A17" s="1"/>
      <c r="B17" s="4">
        <f t="shared" si="14"/>
        <v>45603</v>
      </c>
      <c r="C17" s="29">
        <f t="shared" si="20"/>
        <v>45603</v>
      </c>
      <c r="D17" s="6">
        <f t="shared" ca="1" si="1"/>
        <v>-312</v>
      </c>
      <c r="E17" s="90" t="s">
        <v>4</v>
      </c>
      <c r="F17" s="45"/>
      <c r="G17" s="46"/>
      <c r="H17" s="46"/>
      <c r="I17" s="151"/>
      <c r="J17" s="46"/>
      <c r="K17" s="152" t="str">
        <f t="shared" si="15"/>
        <v/>
      </c>
      <c r="L17" s="46"/>
      <c r="M17" s="46" t="str">
        <f t="shared" si="16"/>
        <v/>
      </c>
      <c r="N17" s="310"/>
      <c r="O17" s="198">
        <f t="shared" si="3"/>
        <v>6727.6855656973885</v>
      </c>
      <c r="P17" s="249">
        <f t="shared" si="17"/>
        <v>201827.05669709216</v>
      </c>
      <c r="Q17" s="341">
        <f t="shared" si="4"/>
        <v>201827.05669709216</v>
      </c>
      <c r="R17" s="341">
        <f t="shared" si="21"/>
        <v>0</v>
      </c>
      <c r="S17" s="342" t="str">
        <f t="shared" si="12"/>
        <v/>
      </c>
      <c r="T17" s="341"/>
      <c r="U17" s="341"/>
      <c r="V17" s="343" t="str">
        <f t="shared" si="18"/>
        <v/>
      </c>
      <c r="W17" s="343" t="str">
        <f t="shared" si="19"/>
        <v/>
      </c>
      <c r="X17" s="198">
        <f t="shared" si="22"/>
        <v>0</v>
      </c>
      <c r="Y17" s="198">
        <f t="shared" si="22"/>
        <v>0</v>
      </c>
      <c r="Z17" s="198">
        <f t="shared" si="22"/>
        <v>0</v>
      </c>
      <c r="AA17" s="337">
        <f t="shared" si="8"/>
        <v>0</v>
      </c>
      <c r="AB17" s="199">
        <f t="shared" si="13"/>
        <v>0</v>
      </c>
      <c r="AC17" s="76"/>
      <c r="AD17" s="76"/>
      <c r="AE17" s="76"/>
      <c r="AF17" s="76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</row>
    <row r="18" spans="1:51">
      <c r="A18" s="1"/>
      <c r="B18" s="4">
        <f t="shared" si="14"/>
        <v>45604</v>
      </c>
      <c r="C18" s="29">
        <f t="shared" si="20"/>
        <v>45604</v>
      </c>
      <c r="D18" s="6">
        <f t="shared" ca="1" si="1"/>
        <v>-313</v>
      </c>
      <c r="E18" s="90" t="s">
        <v>5</v>
      </c>
      <c r="F18" s="45"/>
      <c r="G18" s="46"/>
      <c r="H18" s="46"/>
      <c r="I18" s="151"/>
      <c r="J18" s="46"/>
      <c r="K18" s="152" t="str">
        <f t="shared" si="15"/>
        <v/>
      </c>
      <c r="L18" s="46"/>
      <c r="M18" s="46" t="str">
        <f t="shared" si="16"/>
        <v/>
      </c>
      <c r="N18" s="301"/>
      <c r="O18" s="198">
        <f t="shared" si="3"/>
        <v>6727.6855656973885</v>
      </c>
      <c r="P18" s="249">
        <f t="shared" si="17"/>
        <v>201827.05669709216</v>
      </c>
      <c r="Q18" s="341">
        <f t="shared" si="4"/>
        <v>201827.05669709216</v>
      </c>
      <c r="R18" s="341">
        <f t="shared" si="21"/>
        <v>0</v>
      </c>
      <c r="S18" s="342" t="str">
        <f t="shared" si="12"/>
        <v/>
      </c>
      <c r="T18" s="341"/>
      <c r="U18" s="341"/>
      <c r="V18" s="343" t="str">
        <f t="shared" si="18"/>
        <v/>
      </c>
      <c r="W18" s="343" t="str">
        <f t="shared" si="19"/>
        <v/>
      </c>
      <c r="X18" s="198">
        <f t="shared" si="22"/>
        <v>0</v>
      </c>
      <c r="Y18" s="198">
        <f t="shared" si="22"/>
        <v>0</v>
      </c>
      <c r="Z18" s="198">
        <f t="shared" si="22"/>
        <v>0</v>
      </c>
      <c r="AA18" s="337">
        <f t="shared" si="8"/>
        <v>0</v>
      </c>
      <c r="AB18" s="199">
        <f t="shared" si="13"/>
        <v>0</v>
      </c>
      <c r="AC18" s="76"/>
      <c r="AD18" s="76"/>
      <c r="AE18" s="76"/>
      <c r="AF18" s="76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</row>
    <row r="19" spans="1:51">
      <c r="A19" s="1"/>
      <c r="B19" s="4">
        <f t="shared" si="14"/>
        <v>45605</v>
      </c>
      <c r="C19" s="29">
        <f t="shared" si="20"/>
        <v>45605</v>
      </c>
      <c r="D19" s="6">
        <f t="shared" ca="1" si="1"/>
        <v>-314</v>
      </c>
      <c r="E19" s="90" t="s">
        <v>6</v>
      </c>
      <c r="F19" s="45"/>
      <c r="G19" s="46"/>
      <c r="H19" s="46"/>
      <c r="I19" s="151"/>
      <c r="J19" s="46"/>
      <c r="K19" s="152" t="str">
        <f t="shared" si="15"/>
        <v/>
      </c>
      <c r="L19" s="46"/>
      <c r="M19" s="46" t="str">
        <f t="shared" si="16"/>
        <v/>
      </c>
      <c r="N19" s="310"/>
      <c r="O19" s="198">
        <f t="shared" si="3"/>
        <v>6727.6855656973885</v>
      </c>
      <c r="P19" s="249">
        <f t="shared" si="17"/>
        <v>201827.05669709216</v>
      </c>
      <c r="Q19" s="341">
        <f t="shared" si="4"/>
        <v>201827.05669709216</v>
      </c>
      <c r="R19" s="341">
        <f t="shared" si="21"/>
        <v>0</v>
      </c>
      <c r="S19" s="342" t="str">
        <f t="shared" si="12"/>
        <v/>
      </c>
      <c r="T19" s="341"/>
      <c r="U19" s="341"/>
      <c r="V19" s="343" t="str">
        <f t="shared" si="18"/>
        <v/>
      </c>
      <c r="W19" s="343" t="str">
        <f t="shared" si="19"/>
        <v/>
      </c>
      <c r="X19" s="198">
        <f t="shared" si="22"/>
        <v>0</v>
      </c>
      <c r="Y19" s="198">
        <f t="shared" si="22"/>
        <v>0</v>
      </c>
      <c r="Z19" s="198">
        <f t="shared" si="22"/>
        <v>0</v>
      </c>
      <c r="AA19" s="337">
        <f t="shared" si="8"/>
        <v>0</v>
      </c>
      <c r="AB19" s="199">
        <f t="shared" si="13"/>
        <v>0</v>
      </c>
      <c r="AC19" s="76"/>
      <c r="AD19" s="76"/>
      <c r="AE19" s="76"/>
      <c r="AF19" s="76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</row>
    <row r="20" spans="1:51" ht="17" thickBot="1">
      <c r="A20" s="1"/>
      <c r="B20" s="43">
        <f t="shared" si="14"/>
        <v>45606</v>
      </c>
      <c r="C20" s="32">
        <f t="shared" si="20"/>
        <v>45606</v>
      </c>
      <c r="D20" s="44">
        <f t="shared" ca="1" si="1"/>
        <v>-315</v>
      </c>
      <c r="E20" s="93" t="s">
        <v>7</v>
      </c>
      <c r="F20" s="45"/>
      <c r="G20" s="46"/>
      <c r="H20" s="46"/>
      <c r="I20" s="151"/>
      <c r="J20" s="46"/>
      <c r="K20" s="152" t="str">
        <f t="shared" si="15"/>
        <v/>
      </c>
      <c r="L20" s="46"/>
      <c r="M20" s="46" t="str">
        <f t="shared" si="16"/>
        <v/>
      </c>
      <c r="N20" s="303"/>
      <c r="O20" s="198">
        <f t="shared" si="3"/>
        <v>6727.6855656973885</v>
      </c>
      <c r="P20" s="249">
        <f t="shared" si="17"/>
        <v>201827.05669709216</v>
      </c>
      <c r="Q20" s="341">
        <f t="shared" si="4"/>
        <v>201827.05669709216</v>
      </c>
      <c r="R20" s="341">
        <f t="shared" si="21"/>
        <v>0</v>
      </c>
      <c r="S20" s="342" t="str">
        <f t="shared" si="12"/>
        <v/>
      </c>
      <c r="T20" s="341"/>
      <c r="U20" s="341"/>
      <c r="V20" s="343" t="str">
        <f t="shared" si="18"/>
        <v/>
      </c>
      <c r="W20" s="343" t="str">
        <f t="shared" si="19"/>
        <v/>
      </c>
      <c r="X20" s="198">
        <f t="shared" si="22"/>
        <v>0</v>
      </c>
      <c r="Y20" s="198">
        <f t="shared" si="22"/>
        <v>0</v>
      </c>
      <c r="Z20" s="198">
        <f t="shared" si="22"/>
        <v>0</v>
      </c>
      <c r="AA20" s="337">
        <f t="shared" si="8"/>
        <v>0</v>
      </c>
      <c r="AB20" s="199">
        <f t="shared" si="13"/>
        <v>0</v>
      </c>
      <c r="AC20" s="76"/>
      <c r="AD20" s="76"/>
      <c r="AE20" s="76"/>
      <c r="AF20" s="76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</row>
    <row r="21" spans="1:51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98" t="str">
        <f t="shared" si="3"/>
        <v/>
      </c>
      <c r="P21" s="249"/>
      <c r="Q21" s="341">
        <f t="shared" si="4"/>
        <v>0</v>
      </c>
      <c r="R21" s="339"/>
      <c r="S21" s="342" t="str">
        <f t="shared" si="12"/>
        <v/>
      </c>
      <c r="T21" s="339"/>
      <c r="U21" s="339"/>
      <c r="V21" s="339"/>
      <c r="W21" s="339"/>
      <c r="X21" s="77"/>
      <c r="Y21" s="77"/>
      <c r="Z21" s="77"/>
      <c r="AA21" s="337">
        <f t="shared" si="8"/>
        <v>0</v>
      </c>
      <c r="AB21" s="199">
        <f t="shared" si="13"/>
        <v>0</v>
      </c>
      <c r="AC21" s="76"/>
      <c r="AD21" s="76"/>
      <c r="AE21" s="76"/>
      <c r="AF21" s="76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</row>
    <row r="22" spans="1:51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29.262179149348874</v>
      </c>
      <c r="G22" s="53">
        <f>H22*1.0936113</f>
        <v>51501.436950900003</v>
      </c>
      <c r="H22" s="104">
        <f>INT(SUM($O14:$O20))</f>
        <v>47093</v>
      </c>
      <c r="I22" s="120"/>
      <c r="J22" s="499"/>
      <c r="K22" s="500"/>
      <c r="L22" s="500"/>
      <c r="M22" s="500"/>
      <c r="N22" s="500"/>
      <c r="O22" s="198" t="str">
        <f t="shared" si="3"/>
        <v/>
      </c>
      <c r="P22" s="249"/>
      <c r="Q22" s="341">
        <f t="shared" si="4"/>
        <v>0</v>
      </c>
      <c r="R22" s="336"/>
      <c r="S22" s="342" t="str">
        <f t="shared" si="12"/>
        <v/>
      </c>
      <c r="T22" s="336"/>
      <c r="U22" s="336"/>
      <c r="V22" s="336"/>
      <c r="W22" s="336"/>
      <c r="X22" s="77"/>
      <c r="Y22" s="77"/>
      <c r="Z22" s="77"/>
      <c r="AA22" s="337">
        <f t="shared" si="8"/>
        <v>0</v>
      </c>
      <c r="AB22" s="199">
        <f t="shared" si="13"/>
        <v>0</v>
      </c>
      <c r="AC22" s="76"/>
      <c r="AD22" s="76"/>
      <c r="AE22" s="76"/>
      <c r="AF22" s="76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</row>
    <row r="23" spans="1:51" ht="17" thickTop="1">
      <c r="A23" s="1"/>
      <c r="B23" s="47">
        <f t="shared" ref="B23:B29" si="23">IF(B$2&gt;C23,0,C23)</f>
        <v>45607</v>
      </c>
      <c r="C23" s="31">
        <f>C20+1</f>
        <v>45607</v>
      </c>
      <c r="D23" s="18">
        <f t="shared" ca="1" si="1"/>
        <v>-316</v>
      </c>
      <c r="E23" s="94" t="s">
        <v>1</v>
      </c>
      <c r="F23" s="45"/>
      <c r="G23" s="46"/>
      <c r="H23" s="46"/>
      <c r="I23" s="151"/>
      <c r="J23" s="46"/>
      <c r="K23" s="152" t="str">
        <f t="shared" ref="K23:K29" si="24">IF(R23=0,"",IF(L23="","",J23))</f>
        <v/>
      </c>
      <c r="L23" s="101"/>
      <c r="M23" s="46" t="str">
        <f t="shared" ref="M23:M29" si="25">IF(R23=0,"",IF(J23="","",L23))</f>
        <v/>
      </c>
      <c r="N23" s="301"/>
      <c r="O23" s="198">
        <f t="shared" si="3"/>
        <v>6727.6855656973885</v>
      </c>
      <c r="P23" s="249">
        <f t="shared" ref="P23:P29" si="26">H$56</f>
        <v>201827.05669709216</v>
      </c>
      <c r="Q23" s="341">
        <f t="shared" si="4"/>
        <v>201827.05669709216</v>
      </c>
      <c r="R23" s="341">
        <f>IF(R$2=3,H23+G23/1.0936133+F23/0.0006213712,IF(R$2=2,H23*1.0936133+G23+F23/0.0005681818,IF(R$2=1,H23*0.0005681818*1.0936133+G23*0.0005681818+F23,"")))</f>
        <v>0</v>
      </c>
      <c r="S23" s="342" t="str">
        <f t="shared" si="12"/>
        <v/>
      </c>
      <c r="T23" s="341"/>
      <c r="U23" s="341"/>
      <c r="V23" s="343" t="str">
        <f t="shared" ref="V23:V29" si="27">IF(L23="","",IF(R23=0,"",IF(B23=0,"",IF($R$2=3,R23/L23*60/1000,IF($R$2=2,R23/L23*60/1760,IF($R$2=1,R23/L23*60,""))))))</f>
        <v/>
      </c>
      <c r="W23" s="343" t="str">
        <f t="shared" ref="W23:W29" si="28">IF(R23=0,"",IF(L23="","",V23*L23))</f>
        <v/>
      </c>
      <c r="X23" s="198">
        <f>F23+X20</f>
        <v>0</v>
      </c>
      <c r="Y23" s="198">
        <f>G23+Y20</f>
        <v>0</v>
      </c>
      <c r="Z23" s="198">
        <f>H23+Z20</f>
        <v>0</v>
      </c>
      <c r="AA23" s="337">
        <f t="shared" si="8"/>
        <v>0</v>
      </c>
      <c r="AB23" s="199">
        <f t="shared" si="13"/>
        <v>0</v>
      </c>
      <c r="AC23" s="76"/>
      <c r="AD23" s="76"/>
      <c r="AE23" s="76"/>
      <c r="AF23" s="76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</row>
    <row r="24" spans="1:51">
      <c r="A24" s="1"/>
      <c r="B24" s="4">
        <f t="shared" si="23"/>
        <v>45608</v>
      </c>
      <c r="C24" s="29">
        <f t="shared" ref="C24:C29" si="29">C23+1</f>
        <v>45608</v>
      </c>
      <c r="D24" s="6">
        <f t="shared" ca="1" si="1"/>
        <v>-317</v>
      </c>
      <c r="E24" s="90" t="s">
        <v>2</v>
      </c>
      <c r="F24" s="45"/>
      <c r="G24" s="46"/>
      <c r="H24" s="46"/>
      <c r="I24" s="151"/>
      <c r="J24" s="46"/>
      <c r="K24" s="152" t="str">
        <f t="shared" si="24"/>
        <v/>
      </c>
      <c r="L24" s="46"/>
      <c r="M24" s="46" t="str">
        <f t="shared" si="25"/>
        <v/>
      </c>
      <c r="N24" s="301"/>
      <c r="O24" s="198">
        <f t="shared" si="3"/>
        <v>6727.6855656973885</v>
      </c>
      <c r="P24" s="249">
        <f t="shared" si="26"/>
        <v>201827.05669709216</v>
      </c>
      <c r="Q24" s="341">
        <f t="shared" si="4"/>
        <v>201827.05669709216</v>
      </c>
      <c r="R24" s="341">
        <f t="shared" ref="R24:R29" si="30">IF(R$2=3,H24+G24/1.0936133+F24/0.0006213712,IF(R$2=2,H24*1.0936133+G24+F24/0.0005681818,IF(R$2=1,H24*0.0005681818*1.0936133+G24*0.0005681818+F24,"")))</f>
        <v>0</v>
      </c>
      <c r="S24" s="342" t="str">
        <f t="shared" si="12"/>
        <v/>
      </c>
      <c r="T24" s="341"/>
      <c r="U24" s="341"/>
      <c r="V24" s="343" t="str">
        <f t="shared" si="27"/>
        <v/>
      </c>
      <c r="W24" s="343" t="str">
        <f t="shared" si="28"/>
        <v/>
      </c>
      <c r="X24" s="198">
        <f t="shared" ref="X24:Z29" si="31">F24+X23</f>
        <v>0</v>
      </c>
      <c r="Y24" s="198">
        <f t="shared" si="31"/>
        <v>0</v>
      </c>
      <c r="Z24" s="198">
        <f t="shared" si="31"/>
        <v>0</v>
      </c>
      <c r="AA24" s="337">
        <f t="shared" si="8"/>
        <v>0</v>
      </c>
      <c r="AB24" s="199">
        <f t="shared" si="13"/>
        <v>0</v>
      </c>
      <c r="AC24" s="76"/>
      <c r="AD24" s="76"/>
      <c r="AE24" s="76"/>
      <c r="AF24" s="76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</row>
    <row r="25" spans="1:51">
      <c r="A25" s="1"/>
      <c r="B25" s="4">
        <f t="shared" si="23"/>
        <v>45609</v>
      </c>
      <c r="C25" s="29">
        <f t="shared" si="29"/>
        <v>45609</v>
      </c>
      <c r="D25" s="6">
        <f t="shared" ca="1" si="1"/>
        <v>-318</v>
      </c>
      <c r="E25" s="90" t="s">
        <v>3</v>
      </c>
      <c r="F25" s="45"/>
      <c r="G25" s="46"/>
      <c r="H25" s="46"/>
      <c r="I25" s="151"/>
      <c r="J25" s="46"/>
      <c r="K25" s="152" t="str">
        <f t="shared" si="24"/>
        <v/>
      </c>
      <c r="L25" s="46"/>
      <c r="M25" s="46" t="str">
        <f t="shared" si="25"/>
        <v/>
      </c>
      <c r="N25" s="301"/>
      <c r="O25" s="198">
        <f t="shared" si="3"/>
        <v>6727.6855656973885</v>
      </c>
      <c r="P25" s="249">
        <f t="shared" si="26"/>
        <v>201827.05669709216</v>
      </c>
      <c r="Q25" s="341">
        <f t="shared" si="4"/>
        <v>201827.05669709216</v>
      </c>
      <c r="R25" s="341">
        <f t="shared" si="30"/>
        <v>0</v>
      </c>
      <c r="S25" s="342" t="str">
        <f t="shared" si="12"/>
        <v/>
      </c>
      <c r="T25" s="341"/>
      <c r="U25" s="341"/>
      <c r="V25" s="343" t="str">
        <f t="shared" si="27"/>
        <v/>
      </c>
      <c r="W25" s="343" t="str">
        <f t="shared" si="28"/>
        <v/>
      </c>
      <c r="X25" s="198">
        <f t="shared" si="31"/>
        <v>0</v>
      </c>
      <c r="Y25" s="198">
        <f t="shared" si="31"/>
        <v>0</v>
      </c>
      <c r="Z25" s="198">
        <f t="shared" si="31"/>
        <v>0</v>
      </c>
      <c r="AA25" s="337">
        <f t="shared" si="8"/>
        <v>0</v>
      </c>
      <c r="AB25" s="199">
        <f t="shared" si="13"/>
        <v>0</v>
      </c>
      <c r="AC25" s="76"/>
      <c r="AD25" s="76"/>
      <c r="AE25" s="76"/>
      <c r="AF25" s="76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</row>
    <row r="26" spans="1:51">
      <c r="A26" s="1"/>
      <c r="B26" s="4">
        <f t="shared" si="23"/>
        <v>45610</v>
      </c>
      <c r="C26" s="29">
        <f t="shared" si="29"/>
        <v>45610</v>
      </c>
      <c r="D26" s="6">
        <f t="shared" ca="1" si="1"/>
        <v>-319</v>
      </c>
      <c r="E26" s="90" t="s">
        <v>4</v>
      </c>
      <c r="F26" s="45"/>
      <c r="G26" s="46"/>
      <c r="H26" s="46"/>
      <c r="I26" s="151"/>
      <c r="J26" s="46"/>
      <c r="K26" s="152" t="str">
        <f t="shared" si="24"/>
        <v/>
      </c>
      <c r="L26" s="46"/>
      <c r="M26" s="46" t="str">
        <f t="shared" si="25"/>
        <v/>
      </c>
      <c r="N26" s="301"/>
      <c r="O26" s="198">
        <f t="shared" si="3"/>
        <v>6727.6855656973885</v>
      </c>
      <c r="P26" s="249">
        <f t="shared" si="26"/>
        <v>201827.05669709216</v>
      </c>
      <c r="Q26" s="341">
        <f t="shared" si="4"/>
        <v>201827.05669709216</v>
      </c>
      <c r="R26" s="341">
        <f t="shared" si="30"/>
        <v>0</v>
      </c>
      <c r="S26" s="342" t="str">
        <f t="shared" si="12"/>
        <v/>
      </c>
      <c r="T26" s="341"/>
      <c r="U26" s="341"/>
      <c r="V26" s="343" t="str">
        <f t="shared" si="27"/>
        <v/>
      </c>
      <c r="W26" s="343" t="str">
        <f t="shared" si="28"/>
        <v/>
      </c>
      <c r="X26" s="198">
        <f t="shared" si="31"/>
        <v>0</v>
      </c>
      <c r="Y26" s="198">
        <f t="shared" si="31"/>
        <v>0</v>
      </c>
      <c r="Z26" s="198">
        <f t="shared" si="31"/>
        <v>0</v>
      </c>
      <c r="AA26" s="337">
        <f t="shared" si="8"/>
        <v>0</v>
      </c>
      <c r="AB26" s="199">
        <f t="shared" si="13"/>
        <v>0</v>
      </c>
      <c r="AC26" s="76"/>
      <c r="AD26" s="76"/>
      <c r="AE26" s="76"/>
      <c r="AF26" s="76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</row>
    <row r="27" spans="1:51">
      <c r="A27" s="1"/>
      <c r="B27" s="4">
        <f t="shared" si="23"/>
        <v>45611</v>
      </c>
      <c r="C27" s="29">
        <f t="shared" si="29"/>
        <v>45611</v>
      </c>
      <c r="D27" s="6">
        <f t="shared" ca="1" si="1"/>
        <v>-320</v>
      </c>
      <c r="E27" s="90" t="s">
        <v>5</v>
      </c>
      <c r="F27" s="45"/>
      <c r="G27" s="46"/>
      <c r="H27" s="46"/>
      <c r="I27" s="151"/>
      <c r="J27" s="46"/>
      <c r="K27" s="152" t="str">
        <f t="shared" si="24"/>
        <v/>
      </c>
      <c r="L27" s="46"/>
      <c r="M27" s="46" t="str">
        <f t="shared" si="25"/>
        <v/>
      </c>
      <c r="N27" s="301"/>
      <c r="O27" s="198">
        <f t="shared" si="3"/>
        <v>6727.6855656973885</v>
      </c>
      <c r="P27" s="249">
        <f t="shared" si="26"/>
        <v>201827.05669709216</v>
      </c>
      <c r="Q27" s="341">
        <f t="shared" si="4"/>
        <v>201827.05669709216</v>
      </c>
      <c r="R27" s="341">
        <f t="shared" si="30"/>
        <v>0</v>
      </c>
      <c r="S27" s="342" t="str">
        <f t="shared" si="12"/>
        <v/>
      </c>
      <c r="T27" s="341"/>
      <c r="U27" s="341"/>
      <c r="V27" s="343" t="str">
        <f t="shared" si="27"/>
        <v/>
      </c>
      <c r="W27" s="343" t="str">
        <f t="shared" si="28"/>
        <v/>
      </c>
      <c r="X27" s="198">
        <f t="shared" si="31"/>
        <v>0</v>
      </c>
      <c r="Y27" s="198">
        <f t="shared" si="31"/>
        <v>0</v>
      </c>
      <c r="Z27" s="198">
        <f t="shared" si="31"/>
        <v>0</v>
      </c>
      <c r="AA27" s="337">
        <f t="shared" si="8"/>
        <v>0</v>
      </c>
      <c r="AB27" s="199">
        <f t="shared" si="13"/>
        <v>0</v>
      </c>
      <c r="AC27" s="76"/>
      <c r="AD27" s="76"/>
      <c r="AE27" s="76"/>
      <c r="AF27" s="76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</row>
    <row r="28" spans="1:51">
      <c r="A28" s="1"/>
      <c r="B28" s="4">
        <f t="shared" si="23"/>
        <v>45612</v>
      </c>
      <c r="C28" s="29">
        <f t="shared" si="29"/>
        <v>45612</v>
      </c>
      <c r="D28" s="6">
        <f t="shared" ca="1" si="1"/>
        <v>-321</v>
      </c>
      <c r="E28" s="90" t="s">
        <v>6</v>
      </c>
      <c r="F28" s="45"/>
      <c r="G28" s="46"/>
      <c r="H28" s="46"/>
      <c r="I28" s="151"/>
      <c r="J28" s="46"/>
      <c r="K28" s="152" t="str">
        <f t="shared" si="24"/>
        <v/>
      </c>
      <c r="L28" s="46"/>
      <c r="M28" s="46" t="str">
        <f t="shared" si="25"/>
        <v/>
      </c>
      <c r="N28" s="301"/>
      <c r="O28" s="198">
        <f t="shared" si="3"/>
        <v>6727.6855656973885</v>
      </c>
      <c r="P28" s="249">
        <f t="shared" si="26"/>
        <v>201827.05669709216</v>
      </c>
      <c r="Q28" s="341">
        <f t="shared" si="4"/>
        <v>201827.05669709216</v>
      </c>
      <c r="R28" s="341">
        <f t="shared" si="30"/>
        <v>0</v>
      </c>
      <c r="S28" s="342" t="str">
        <f t="shared" si="12"/>
        <v/>
      </c>
      <c r="T28" s="341"/>
      <c r="U28" s="341"/>
      <c r="V28" s="343" t="str">
        <f t="shared" si="27"/>
        <v/>
      </c>
      <c r="W28" s="343" t="str">
        <f t="shared" si="28"/>
        <v/>
      </c>
      <c r="X28" s="198">
        <f t="shared" si="31"/>
        <v>0</v>
      </c>
      <c r="Y28" s="198">
        <f t="shared" si="31"/>
        <v>0</v>
      </c>
      <c r="Z28" s="198">
        <f t="shared" si="31"/>
        <v>0</v>
      </c>
      <c r="AA28" s="337">
        <f t="shared" si="8"/>
        <v>0</v>
      </c>
      <c r="AB28" s="199">
        <f t="shared" si="13"/>
        <v>0</v>
      </c>
      <c r="AC28" s="76"/>
      <c r="AD28" s="76"/>
      <c r="AE28" s="76"/>
      <c r="AF28" s="76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</row>
    <row r="29" spans="1:51" ht="17" thickBot="1">
      <c r="A29" s="1"/>
      <c r="B29" s="43">
        <f t="shared" si="23"/>
        <v>45613</v>
      </c>
      <c r="C29" s="32">
        <f t="shared" si="29"/>
        <v>45613</v>
      </c>
      <c r="D29" s="44">
        <f t="shared" ca="1" si="1"/>
        <v>-322</v>
      </c>
      <c r="E29" s="93" t="s">
        <v>7</v>
      </c>
      <c r="F29" s="45"/>
      <c r="G29" s="46"/>
      <c r="H29" s="46"/>
      <c r="I29" s="151"/>
      <c r="J29" s="46"/>
      <c r="K29" s="152" t="str">
        <f t="shared" si="24"/>
        <v/>
      </c>
      <c r="L29" s="46"/>
      <c r="M29" s="46" t="str">
        <f t="shared" si="25"/>
        <v/>
      </c>
      <c r="N29" s="301"/>
      <c r="O29" s="198">
        <f t="shared" si="3"/>
        <v>6727.6855656973885</v>
      </c>
      <c r="P29" s="249">
        <f t="shared" si="26"/>
        <v>201827.05669709216</v>
      </c>
      <c r="Q29" s="341">
        <f t="shared" si="4"/>
        <v>201827.05669709216</v>
      </c>
      <c r="R29" s="341">
        <f t="shared" si="30"/>
        <v>0</v>
      </c>
      <c r="S29" s="342" t="str">
        <f t="shared" si="12"/>
        <v/>
      </c>
      <c r="T29" s="341"/>
      <c r="U29" s="341"/>
      <c r="V29" s="343" t="str">
        <f t="shared" si="27"/>
        <v/>
      </c>
      <c r="W29" s="343" t="str">
        <f t="shared" si="28"/>
        <v/>
      </c>
      <c r="X29" s="198">
        <f t="shared" si="31"/>
        <v>0</v>
      </c>
      <c r="Y29" s="198">
        <f t="shared" si="31"/>
        <v>0</v>
      </c>
      <c r="Z29" s="198">
        <f t="shared" si="31"/>
        <v>0</v>
      </c>
      <c r="AA29" s="337">
        <f t="shared" si="8"/>
        <v>0</v>
      </c>
      <c r="AB29" s="199">
        <f t="shared" si="13"/>
        <v>0</v>
      </c>
      <c r="AC29" s="76"/>
      <c r="AD29" s="76"/>
      <c r="AE29" s="76"/>
      <c r="AF29" s="76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</row>
    <row r="30" spans="1:51" ht="17" customHeight="1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98" t="str">
        <f t="shared" si="3"/>
        <v/>
      </c>
      <c r="P30" s="249"/>
      <c r="Q30" s="341">
        <f t="shared" si="4"/>
        <v>0</v>
      </c>
      <c r="R30" s="339"/>
      <c r="S30" s="342" t="str">
        <f t="shared" si="12"/>
        <v/>
      </c>
      <c r="T30" s="339"/>
      <c r="U30" s="339"/>
      <c r="V30" s="339"/>
      <c r="W30" s="339"/>
      <c r="X30" s="77"/>
      <c r="Y30" s="77"/>
      <c r="Z30" s="77"/>
      <c r="AA30" s="337">
        <f t="shared" si="8"/>
        <v>0</v>
      </c>
      <c r="AB30" s="199">
        <f t="shared" si="13"/>
        <v>0</v>
      </c>
      <c r="AC30" s="76"/>
      <c r="AD30" s="76"/>
      <c r="AE30" s="76"/>
      <c r="AF30" s="76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</row>
    <row r="31" spans="1:51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29.262179149348874</v>
      </c>
      <c r="G31" s="53">
        <f>H31*1.0936113</f>
        <v>51501.436950900003</v>
      </c>
      <c r="H31" s="104">
        <f>INT(SUM($O23:$O29))</f>
        <v>47093</v>
      </c>
      <c r="I31" s="120"/>
      <c r="J31" s="503"/>
      <c r="K31" s="504"/>
      <c r="L31" s="504"/>
      <c r="M31" s="271"/>
      <c r="N31" s="506"/>
      <c r="O31" s="198" t="str">
        <f t="shared" si="3"/>
        <v/>
      </c>
      <c r="P31" s="249"/>
      <c r="Q31" s="341">
        <f t="shared" si="4"/>
        <v>0</v>
      </c>
      <c r="R31" s="336"/>
      <c r="S31" s="342" t="str">
        <f t="shared" si="12"/>
        <v/>
      </c>
      <c r="T31" s="336"/>
      <c r="U31" s="336"/>
      <c r="V31" s="336"/>
      <c r="W31" s="336"/>
      <c r="X31" s="77"/>
      <c r="Y31" s="77"/>
      <c r="Z31" s="77"/>
      <c r="AA31" s="337">
        <f t="shared" si="8"/>
        <v>0</v>
      </c>
      <c r="AB31" s="199">
        <f t="shared" si="13"/>
        <v>0</v>
      </c>
      <c r="AC31" s="76"/>
      <c r="AD31" s="76"/>
      <c r="AE31" s="76"/>
      <c r="AF31" s="76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</row>
    <row r="32" spans="1:51" ht="17" thickTop="1">
      <c r="A32" s="1"/>
      <c r="B32" s="47">
        <f t="shared" ref="B32:B38" si="32">IF(B$2&gt;C32,0,C32)</f>
        <v>45614</v>
      </c>
      <c r="C32" s="31">
        <f>C29+1</f>
        <v>45614</v>
      </c>
      <c r="D32" s="18">
        <f t="shared" ca="1" si="1"/>
        <v>-323</v>
      </c>
      <c r="E32" s="94" t="s">
        <v>1</v>
      </c>
      <c r="F32" s="45"/>
      <c r="G32" s="46"/>
      <c r="H32" s="46"/>
      <c r="I32" s="151"/>
      <c r="J32" s="46"/>
      <c r="K32" s="152" t="str">
        <f t="shared" ref="K32:K38" si="33">IF(R32=0,"",IF(L32="","",J32))</f>
        <v/>
      </c>
      <c r="L32" s="121"/>
      <c r="M32" s="46" t="str">
        <f>IF(R32=0,"",IF(J32="","",L32))</f>
        <v/>
      </c>
      <c r="N32" s="301"/>
      <c r="O32" s="198">
        <f t="shared" si="3"/>
        <v>6727.6855656973885</v>
      </c>
      <c r="P32" s="249">
        <f t="shared" ref="P32:P38" si="34">H$56</f>
        <v>201827.05669709216</v>
      </c>
      <c r="Q32" s="341">
        <f t="shared" si="4"/>
        <v>201827.05669709216</v>
      </c>
      <c r="R32" s="341">
        <f>IF(R$2=3,H32+G32/1.0936133+F32/0.0006213712,IF(R$2=2,H32*1.0936133+G32+F32/0.0005681818,IF(R$2=1,H32*0.0005681818*1.0936133+G32*0.0005681818+F32,"")))</f>
        <v>0</v>
      </c>
      <c r="S32" s="342" t="str">
        <f t="shared" si="12"/>
        <v/>
      </c>
      <c r="T32" s="341"/>
      <c r="U32" s="341"/>
      <c r="V32" s="343" t="str">
        <f t="shared" ref="V32:V38" si="35">IF(L32="","",IF(R32=0,"",IF(B32=0,"",IF($R$2=3,R32/L32*60/1000,IF($R$2=2,R32/L32*60/1760,IF($R$2=1,R32/L32*60,""))))))</f>
        <v/>
      </c>
      <c r="W32" s="343" t="str">
        <f t="shared" ref="W32:W38" si="36">IF(R32=0,"",IF(L32="","",V32*L32))</f>
        <v/>
      </c>
      <c r="X32" s="198">
        <f>F32+X29</f>
        <v>0</v>
      </c>
      <c r="Y32" s="198">
        <f>G32+Y29</f>
        <v>0</v>
      </c>
      <c r="Z32" s="198">
        <f>H32+Z29</f>
        <v>0</v>
      </c>
      <c r="AA32" s="337">
        <f t="shared" si="8"/>
        <v>0</v>
      </c>
      <c r="AB32" s="199">
        <f t="shared" si="13"/>
        <v>0</v>
      </c>
      <c r="AC32" s="76"/>
      <c r="AD32" s="76"/>
      <c r="AE32" s="76"/>
      <c r="AF32" s="76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</row>
    <row r="33" spans="1:51">
      <c r="A33" s="1"/>
      <c r="B33" s="4">
        <f t="shared" si="32"/>
        <v>45615</v>
      </c>
      <c r="C33" s="29">
        <f t="shared" ref="C33:C38" si="37">C32+1</f>
        <v>45615</v>
      </c>
      <c r="D33" s="6">
        <f t="shared" ca="1" si="1"/>
        <v>-324</v>
      </c>
      <c r="E33" s="90" t="s">
        <v>2</v>
      </c>
      <c r="F33" s="45"/>
      <c r="G33" s="46"/>
      <c r="H33" s="46"/>
      <c r="I33" s="151"/>
      <c r="J33" s="46"/>
      <c r="K33" s="152" t="str">
        <f t="shared" si="33"/>
        <v/>
      </c>
      <c r="L33" s="46"/>
      <c r="M33" s="46" t="str">
        <f t="shared" ref="M33:M38" si="38">IF(R33=0,"",IF(J33="","",L33))</f>
        <v/>
      </c>
      <c r="N33" s="301"/>
      <c r="O33" s="198">
        <f t="shared" si="3"/>
        <v>6727.6855656973885</v>
      </c>
      <c r="P33" s="249">
        <f t="shared" si="34"/>
        <v>201827.05669709216</v>
      </c>
      <c r="Q33" s="341">
        <f t="shared" si="4"/>
        <v>201827.05669709216</v>
      </c>
      <c r="R33" s="341">
        <f t="shared" ref="R33:R38" si="39">IF(R$2=3,H33+G33/1.0936133+F33/0.0006213712,IF(R$2=2,H33*1.0936133+G33+F33/0.0005681818,IF(R$2=1,H33*0.0005681818*1.0936133+G33*0.0005681818+F33,"")))</f>
        <v>0</v>
      </c>
      <c r="S33" s="342" t="str">
        <f t="shared" si="12"/>
        <v/>
      </c>
      <c r="T33" s="341"/>
      <c r="U33" s="341"/>
      <c r="V33" s="343" t="str">
        <f t="shared" si="35"/>
        <v/>
      </c>
      <c r="W33" s="343" t="str">
        <f t="shared" si="36"/>
        <v/>
      </c>
      <c r="X33" s="198">
        <f t="shared" ref="X33:Z38" si="40">F33+X32</f>
        <v>0</v>
      </c>
      <c r="Y33" s="198">
        <f t="shared" si="40"/>
        <v>0</v>
      </c>
      <c r="Z33" s="198">
        <f t="shared" si="40"/>
        <v>0</v>
      </c>
      <c r="AA33" s="337">
        <f t="shared" si="8"/>
        <v>0</v>
      </c>
      <c r="AB33" s="199">
        <f t="shared" si="13"/>
        <v>0</v>
      </c>
      <c r="AC33" s="76"/>
      <c r="AD33" s="76"/>
      <c r="AE33" s="76"/>
      <c r="AF33" s="76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</row>
    <row r="34" spans="1:51">
      <c r="A34" s="1"/>
      <c r="B34" s="4">
        <f t="shared" si="32"/>
        <v>45616</v>
      </c>
      <c r="C34" s="29">
        <f t="shared" si="37"/>
        <v>45616</v>
      </c>
      <c r="D34" s="6">
        <f t="shared" ca="1" si="1"/>
        <v>-325</v>
      </c>
      <c r="E34" s="90" t="s">
        <v>3</v>
      </c>
      <c r="F34" s="45"/>
      <c r="G34" s="46"/>
      <c r="H34" s="46"/>
      <c r="I34" s="151"/>
      <c r="J34" s="46"/>
      <c r="K34" s="152" t="str">
        <f t="shared" si="33"/>
        <v/>
      </c>
      <c r="L34" s="46"/>
      <c r="M34" s="46" t="str">
        <f t="shared" si="38"/>
        <v/>
      </c>
      <c r="N34" s="301"/>
      <c r="O34" s="198">
        <f t="shared" si="3"/>
        <v>6727.6855656973885</v>
      </c>
      <c r="P34" s="249">
        <f t="shared" si="34"/>
        <v>201827.05669709216</v>
      </c>
      <c r="Q34" s="341">
        <f t="shared" si="4"/>
        <v>201827.05669709216</v>
      </c>
      <c r="R34" s="341">
        <f t="shared" si="39"/>
        <v>0</v>
      </c>
      <c r="S34" s="342" t="str">
        <f t="shared" si="12"/>
        <v/>
      </c>
      <c r="T34" s="341"/>
      <c r="U34" s="341"/>
      <c r="V34" s="343" t="str">
        <f t="shared" si="35"/>
        <v/>
      </c>
      <c r="W34" s="343" t="str">
        <f t="shared" si="36"/>
        <v/>
      </c>
      <c r="X34" s="198">
        <f t="shared" si="40"/>
        <v>0</v>
      </c>
      <c r="Y34" s="198">
        <f t="shared" si="40"/>
        <v>0</v>
      </c>
      <c r="Z34" s="198">
        <f t="shared" si="40"/>
        <v>0</v>
      </c>
      <c r="AA34" s="337">
        <f t="shared" si="8"/>
        <v>0</v>
      </c>
      <c r="AB34" s="199">
        <f t="shared" si="13"/>
        <v>0</v>
      </c>
      <c r="AC34" s="76"/>
      <c r="AD34" s="76"/>
      <c r="AE34" s="76"/>
      <c r="AF34" s="76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</row>
    <row r="35" spans="1:51">
      <c r="A35" s="1"/>
      <c r="B35" s="4">
        <f t="shared" si="32"/>
        <v>45617</v>
      </c>
      <c r="C35" s="29">
        <f t="shared" si="37"/>
        <v>45617</v>
      </c>
      <c r="D35" s="6">
        <f t="shared" ca="1" si="1"/>
        <v>-326</v>
      </c>
      <c r="E35" s="90" t="s">
        <v>4</v>
      </c>
      <c r="F35" s="45"/>
      <c r="G35" s="46"/>
      <c r="H35" s="46"/>
      <c r="I35" s="151"/>
      <c r="J35" s="46"/>
      <c r="K35" s="152" t="str">
        <f t="shared" si="33"/>
        <v/>
      </c>
      <c r="L35" s="46"/>
      <c r="M35" s="46" t="str">
        <f t="shared" si="38"/>
        <v/>
      </c>
      <c r="N35" s="310"/>
      <c r="O35" s="198">
        <f t="shared" si="3"/>
        <v>6727.6855656973885</v>
      </c>
      <c r="P35" s="249">
        <f t="shared" si="34"/>
        <v>201827.05669709216</v>
      </c>
      <c r="Q35" s="341">
        <f t="shared" si="4"/>
        <v>201827.05669709216</v>
      </c>
      <c r="R35" s="341">
        <f t="shared" si="39"/>
        <v>0</v>
      </c>
      <c r="S35" s="342" t="str">
        <f t="shared" si="12"/>
        <v/>
      </c>
      <c r="T35" s="341"/>
      <c r="U35" s="341"/>
      <c r="V35" s="343" t="str">
        <f t="shared" si="35"/>
        <v/>
      </c>
      <c r="W35" s="343" t="str">
        <f t="shared" si="36"/>
        <v/>
      </c>
      <c r="X35" s="198">
        <f t="shared" si="40"/>
        <v>0</v>
      </c>
      <c r="Y35" s="198">
        <f t="shared" si="40"/>
        <v>0</v>
      </c>
      <c r="Z35" s="198">
        <f t="shared" si="40"/>
        <v>0</v>
      </c>
      <c r="AA35" s="337">
        <f t="shared" si="8"/>
        <v>0</v>
      </c>
      <c r="AB35" s="199">
        <f t="shared" si="13"/>
        <v>0</v>
      </c>
      <c r="AC35" s="76"/>
      <c r="AD35" s="76"/>
      <c r="AE35" s="76"/>
      <c r="AF35" s="76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</row>
    <row r="36" spans="1:51">
      <c r="A36" s="1"/>
      <c r="B36" s="4">
        <f t="shared" si="32"/>
        <v>45618</v>
      </c>
      <c r="C36" s="29">
        <f t="shared" si="37"/>
        <v>45618</v>
      </c>
      <c r="D36" s="6">
        <f t="shared" ca="1" si="1"/>
        <v>-327</v>
      </c>
      <c r="E36" s="90" t="s">
        <v>5</v>
      </c>
      <c r="F36" s="45"/>
      <c r="G36" s="46"/>
      <c r="H36" s="46"/>
      <c r="I36" s="151"/>
      <c r="J36" s="46"/>
      <c r="K36" s="152" t="str">
        <f t="shared" si="33"/>
        <v/>
      </c>
      <c r="L36" s="46"/>
      <c r="M36" s="46" t="str">
        <f t="shared" si="38"/>
        <v/>
      </c>
      <c r="N36" s="301"/>
      <c r="O36" s="198">
        <f t="shared" si="3"/>
        <v>6727.6855656973885</v>
      </c>
      <c r="P36" s="249">
        <f t="shared" si="34"/>
        <v>201827.05669709216</v>
      </c>
      <c r="Q36" s="341">
        <f t="shared" si="4"/>
        <v>201827.05669709216</v>
      </c>
      <c r="R36" s="341">
        <f t="shared" si="39"/>
        <v>0</v>
      </c>
      <c r="S36" s="342" t="str">
        <f t="shared" si="12"/>
        <v/>
      </c>
      <c r="T36" s="341"/>
      <c r="U36" s="341"/>
      <c r="V36" s="343" t="str">
        <f t="shared" si="35"/>
        <v/>
      </c>
      <c r="W36" s="343" t="str">
        <f t="shared" si="36"/>
        <v/>
      </c>
      <c r="X36" s="198">
        <f t="shared" si="40"/>
        <v>0</v>
      </c>
      <c r="Y36" s="198">
        <f t="shared" si="40"/>
        <v>0</v>
      </c>
      <c r="Z36" s="198">
        <f t="shared" si="40"/>
        <v>0</v>
      </c>
      <c r="AA36" s="337">
        <f t="shared" si="8"/>
        <v>0</v>
      </c>
      <c r="AB36" s="199">
        <f t="shared" si="13"/>
        <v>0</v>
      </c>
      <c r="AC36" s="76"/>
      <c r="AD36" s="76"/>
      <c r="AE36" s="76"/>
      <c r="AF36" s="76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</row>
    <row r="37" spans="1:51">
      <c r="A37" s="1"/>
      <c r="B37" s="4">
        <f t="shared" si="32"/>
        <v>45619</v>
      </c>
      <c r="C37" s="29">
        <f t="shared" si="37"/>
        <v>45619</v>
      </c>
      <c r="D37" s="6">
        <f t="shared" ca="1" si="1"/>
        <v>-328</v>
      </c>
      <c r="E37" s="90" t="s">
        <v>6</v>
      </c>
      <c r="F37" s="45"/>
      <c r="G37" s="46"/>
      <c r="H37" s="46"/>
      <c r="I37" s="151"/>
      <c r="J37" s="46"/>
      <c r="K37" s="152" t="str">
        <f t="shared" si="33"/>
        <v/>
      </c>
      <c r="L37" s="46"/>
      <c r="M37" s="46" t="str">
        <f t="shared" si="38"/>
        <v/>
      </c>
      <c r="N37" s="310"/>
      <c r="O37" s="198">
        <f t="shared" si="3"/>
        <v>6727.6855656973885</v>
      </c>
      <c r="P37" s="249">
        <f t="shared" si="34"/>
        <v>201827.05669709216</v>
      </c>
      <c r="Q37" s="341">
        <f t="shared" si="4"/>
        <v>201827.05669709216</v>
      </c>
      <c r="R37" s="341">
        <f t="shared" si="39"/>
        <v>0</v>
      </c>
      <c r="S37" s="342" t="str">
        <f t="shared" si="12"/>
        <v/>
      </c>
      <c r="T37" s="341"/>
      <c r="U37" s="341"/>
      <c r="V37" s="343" t="str">
        <f t="shared" si="35"/>
        <v/>
      </c>
      <c r="W37" s="343" t="str">
        <f t="shared" si="36"/>
        <v/>
      </c>
      <c r="X37" s="198">
        <f t="shared" si="40"/>
        <v>0</v>
      </c>
      <c r="Y37" s="198">
        <f t="shared" si="40"/>
        <v>0</v>
      </c>
      <c r="Z37" s="198">
        <f t="shared" si="40"/>
        <v>0</v>
      </c>
      <c r="AA37" s="337">
        <f t="shared" si="8"/>
        <v>0</v>
      </c>
      <c r="AB37" s="199">
        <f t="shared" si="13"/>
        <v>0</v>
      </c>
      <c r="AC37" s="76"/>
      <c r="AD37" s="76"/>
      <c r="AE37" s="76"/>
      <c r="AF37" s="76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</row>
    <row r="38" spans="1:51" ht="17" thickBot="1">
      <c r="A38" s="1"/>
      <c r="B38" s="43">
        <f t="shared" si="32"/>
        <v>45620</v>
      </c>
      <c r="C38" s="32">
        <f t="shared" si="37"/>
        <v>45620</v>
      </c>
      <c r="D38" s="44">
        <f t="shared" ca="1" si="1"/>
        <v>-329</v>
      </c>
      <c r="E38" s="93" t="s">
        <v>7</v>
      </c>
      <c r="F38" s="45"/>
      <c r="G38" s="46"/>
      <c r="H38" s="46"/>
      <c r="I38" s="151"/>
      <c r="J38" s="46"/>
      <c r="K38" s="152" t="str">
        <f t="shared" si="33"/>
        <v/>
      </c>
      <c r="L38" s="46"/>
      <c r="M38" s="46" t="str">
        <f t="shared" si="38"/>
        <v/>
      </c>
      <c r="N38" s="303"/>
      <c r="O38" s="198">
        <f t="shared" si="3"/>
        <v>6727.6855656973885</v>
      </c>
      <c r="P38" s="249">
        <f t="shared" si="34"/>
        <v>201827.05669709216</v>
      </c>
      <c r="Q38" s="341">
        <f t="shared" si="4"/>
        <v>201827.05669709216</v>
      </c>
      <c r="R38" s="341">
        <f t="shared" si="39"/>
        <v>0</v>
      </c>
      <c r="S38" s="342" t="str">
        <f t="shared" si="12"/>
        <v/>
      </c>
      <c r="T38" s="341"/>
      <c r="U38" s="341"/>
      <c r="V38" s="343" t="str">
        <f t="shared" si="35"/>
        <v/>
      </c>
      <c r="W38" s="343" t="str">
        <f t="shared" si="36"/>
        <v/>
      </c>
      <c r="X38" s="198">
        <f t="shared" si="40"/>
        <v>0</v>
      </c>
      <c r="Y38" s="198">
        <f t="shared" si="40"/>
        <v>0</v>
      </c>
      <c r="Z38" s="198">
        <f t="shared" si="40"/>
        <v>0</v>
      </c>
      <c r="AA38" s="337">
        <f t="shared" si="8"/>
        <v>0</v>
      </c>
      <c r="AB38" s="199">
        <f t="shared" si="13"/>
        <v>0</v>
      </c>
      <c r="AC38" s="76"/>
      <c r="AD38" s="76"/>
      <c r="AE38" s="76"/>
      <c r="AF38" s="76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</row>
    <row r="39" spans="1:51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98" t="str">
        <f t="shared" si="3"/>
        <v/>
      </c>
      <c r="P39" s="249"/>
      <c r="Q39" s="341">
        <f t="shared" si="4"/>
        <v>0</v>
      </c>
      <c r="R39" s="339"/>
      <c r="S39" s="342" t="str">
        <f t="shared" si="12"/>
        <v/>
      </c>
      <c r="T39" s="339"/>
      <c r="U39" s="339"/>
      <c r="V39" s="339"/>
      <c r="W39" s="339"/>
      <c r="X39" s="77"/>
      <c r="Y39" s="77"/>
      <c r="Z39" s="77"/>
      <c r="AA39" s="337">
        <f t="shared" si="8"/>
        <v>0</v>
      </c>
      <c r="AB39" s="199">
        <f t="shared" si="13"/>
        <v>0</v>
      </c>
      <c r="AC39" s="76"/>
      <c r="AD39" s="76"/>
      <c r="AE39" s="76"/>
      <c r="AF39" s="76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</row>
    <row r="40" spans="1:51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29.262179149348874</v>
      </c>
      <c r="G40" s="53">
        <f>H40*1.0936113</f>
        <v>51501.436950900003</v>
      </c>
      <c r="H40" s="5">
        <f>INT(SUM($O32:$O38))</f>
        <v>47093</v>
      </c>
      <c r="I40" s="120"/>
      <c r="J40" s="123"/>
      <c r="K40" s="124"/>
      <c r="L40" s="159">
        <f>COUNT(S5:S51)-COUNT(V5:V51)</f>
        <v>0</v>
      </c>
      <c r="M40" s="124"/>
      <c r="N40" s="124"/>
      <c r="O40" s="198" t="str">
        <f t="shared" si="3"/>
        <v/>
      </c>
      <c r="P40" s="249"/>
      <c r="Q40" s="341">
        <f t="shared" si="4"/>
        <v>0</v>
      </c>
      <c r="R40" s="336"/>
      <c r="S40" s="342" t="str">
        <f t="shared" si="12"/>
        <v/>
      </c>
      <c r="T40" s="336"/>
      <c r="U40" s="336"/>
      <c r="V40" s="336"/>
      <c r="W40" s="336"/>
      <c r="X40" s="77"/>
      <c r="Y40" s="77"/>
      <c r="Z40" s="77"/>
      <c r="AA40" s="337">
        <f t="shared" si="8"/>
        <v>0</v>
      </c>
      <c r="AB40" s="199">
        <f t="shared" si="13"/>
        <v>0</v>
      </c>
      <c r="AC40" s="76"/>
      <c r="AD40" s="76"/>
      <c r="AE40" s="76"/>
      <c r="AF40" s="76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</row>
    <row r="41" spans="1:51" ht="17" thickTop="1">
      <c r="A41" s="1"/>
      <c r="B41" s="47">
        <f t="shared" ref="B41:B47" si="41">IF(B$3&lt;C41,0,C41)</f>
        <v>45621</v>
      </c>
      <c r="C41" s="31">
        <f>C38+1</f>
        <v>45621</v>
      </c>
      <c r="D41" s="18">
        <f t="shared" ca="1" si="1"/>
        <v>-330</v>
      </c>
      <c r="E41" s="94" t="str">
        <f>IF(B41=0,"","Monday")</f>
        <v>Monday</v>
      </c>
      <c r="F41" s="45"/>
      <c r="G41" s="46"/>
      <c r="H41" s="46"/>
      <c r="I41" s="151"/>
      <c r="J41" s="101"/>
      <c r="K41" s="152" t="str">
        <f t="shared" ref="K41:K47" si="42">IF(R41=0,"",IF(L41="","",J41))</f>
        <v/>
      </c>
      <c r="L41" s="101"/>
      <c r="M41" s="46" t="str">
        <f>IF(R41=0,"",IF(J41="","",L41))</f>
        <v/>
      </c>
      <c r="N41" s="301"/>
      <c r="O41" s="198">
        <f t="shared" si="3"/>
        <v>6727.6855656973885</v>
      </c>
      <c r="P41" s="249">
        <f t="shared" ref="P41:P47" si="43">H$56</f>
        <v>201827.05669709216</v>
      </c>
      <c r="Q41" s="341">
        <f t="shared" si="4"/>
        <v>201827.05669709216</v>
      </c>
      <c r="R41" s="341">
        <f>IF(R$2=3,H41+G41/1.0936133+F41/0.0006213712,IF(R$2=2,H41*1.0936133+G41+F41/0.0005681818,IF(R$2=1,H41*0.0005681818*1.0936133+G41*0.0005681818+F41,"")))</f>
        <v>0</v>
      </c>
      <c r="S41" s="342" t="str">
        <f t="shared" si="12"/>
        <v/>
      </c>
      <c r="T41" s="341"/>
      <c r="U41" s="341"/>
      <c r="V41" s="343" t="str">
        <f t="shared" ref="V41:V47" si="44">IF(L41="","",IF(R41=0,"",IF(B41=0,"",IF($R$2=3,R41/L41*60/1000,IF($R$2=2,R41/L41*60/1760,IF($R$2=1,R41/L41*60,""))))))</f>
        <v/>
      </c>
      <c r="W41" s="343" t="str">
        <f t="shared" ref="W41:W47" si="45">IF(R41=0,"",IF(L41="","",V41*L41))</f>
        <v/>
      </c>
      <c r="X41" s="198">
        <f>F41+X38</f>
        <v>0</v>
      </c>
      <c r="Y41" s="198">
        <f>G41+Y38</f>
        <v>0</v>
      </c>
      <c r="Z41" s="198">
        <f>H41+Z38</f>
        <v>0</v>
      </c>
      <c r="AA41" s="337">
        <f t="shared" si="8"/>
        <v>0</v>
      </c>
      <c r="AB41" s="199">
        <f t="shared" si="13"/>
        <v>0</v>
      </c>
      <c r="AC41" s="76"/>
      <c r="AD41" s="76"/>
      <c r="AE41" s="76"/>
      <c r="AF41" s="76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</row>
    <row r="42" spans="1:51">
      <c r="A42" s="1"/>
      <c r="B42" s="4">
        <f t="shared" si="41"/>
        <v>45622</v>
      </c>
      <c r="C42" s="29">
        <f t="shared" ref="C42:C47" si="46">C41+1</f>
        <v>45622</v>
      </c>
      <c r="D42" s="6">
        <f t="shared" ca="1" si="1"/>
        <v>-331</v>
      </c>
      <c r="E42" s="90" t="str">
        <f>IF(B42=0,"","Tuesday")</f>
        <v>Tuesday</v>
      </c>
      <c r="F42" s="45"/>
      <c r="G42" s="46"/>
      <c r="H42" s="46"/>
      <c r="I42" s="151"/>
      <c r="J42" s="46"/>
      <c r="K42" s="152" t="str">
        <f t="shared" si="42"/>
        <v/>
      </c>
      <c r="L42" s="46"/>
      <c r="M42" s="46" t="str">
        <f t="shared" ref="M42:M47" si="47">IF(R42=0,"",IF(J42="","",L42))</f>
        <v/>
      </c>
      <c r="N42" s="301"/>
      <c r="O42" s="198">
        <f t="shared" si="3"/>
        <v>6727.6855656973885</v>
      </c>
      <c r="P42" s="249">
        <f t="shared" si="43"/>
        <v>201827.05669709216</v>
      </c>
      <c r="Q42" s="341">
        <f t="shared" si="4"/>
        <v>201827.05669709216</v>
      </c>
      <c r="R42" s="341">
        <f t="shared" ref="R42:R47" si="48">IF(R$2=3,H42+G42/1.0936133+F42/0.0006213712,IF(R$2=2,H42*1.0936133+G42+F42/0.0005681818,IF(R$2=1,H42*0.0005681818*1.0936133+G42*0.0005681818+F42,"")))</f>
        <v>0</v>
      </c>
      <c r="S42" s="342" t="str">
        <f t="shared" si="12"/>
        <v/>
      </c>
      <c r="T42" s="341"/>
      <c r="U42" s="341"/>
      <c r="V42" s="343" t="str">
        <f t="shared" si="44"/>
        <v/>
      </c>
      <c r="W42" s="343" t="str">
        <f t="shared" si="45"/>
        <v/>
      </c>
      <c r="X42" s="198">
        <f t="shared" ref="X42:Z47" si="49">F42+X41</f>
        <v>0</v>
      </c>
      <c r="Y42" s="198">
        <f t="shared" si="49"/>
        <v>0</v>
      </c>
      <c r="Z42" s="198">
        <f t="shared" si="49"/>
        <v>0</v>
      </c>
      <c r="AA42" s="337">
        <f t="shared" si="8"/>
        <v>0</v>
      </c>
      <c r="AB42" s="199">
        <f t="shared" si="13"/>
        <v>0</v>
      </c>
      <c r="AC42" s="76"/>
      <c r="AD42" s="76"/>
      <c r="AE42" s="76"/>
      <c r="AF42" s="76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</row>
    <row r="43" spans="1:51">
      <c r="A43" s="1"/>
      <c r="B43" s="4">
        <f t="shared" si="41"/>
        <v>45623</v>
      </c>
      <c r="C43" s="29">
        <f t="shared" si="46"/>
        <v>45623</v>
      </c>
      <c r="D43" s="6">
        <f t="shared" ca="1" si="1"/>
        <v>-332</v>
      </c>
      <c r="E43" s="90" t="str">
        <f>IF(B43=0,"","Wednesday")</f>
        <v>Wednesday</v>
      </c>
      <c r="F43" s="45"/>
      <c r="G43" s="46"/>
      <c r="H43" s="46"/>
      <c r="I43" s="151"/>
      <c r="J43" s="46"/>
      <c r="K43" s="152" t="str">
        <f t="shared" si="42"/>
        <v/>
      </c>
      <c r="L43" s="46"/>
      <c r="M43" s="46" t="str">
        <f t="shared" si="47"/>
        <v/>
      </c>
      <c r="N43" s="301"/>
      <c r="O43" s="198">
        <f t="shared" si="3"/>
        <v>6727.6855656973885</v>
      </c>
      <c r="P43" s="249">
        <f t="shared" si="43"/>
        <v>201827.05669709216</v>
      </c>
      <c r="Q43" s="341">
        <f t="shared" si="4"/>
        <v>201827.05669709216</v>
      </c>
      <c r="R43" s="341">
        <f t="shared" si="48"/>
        <v>0</v>
      </c>
      <c r="S43" s="342" t="str">
        <f t="shared" si="12"/>
        <v/>
      </c>
      <c r="T43" s="341"/>
      <c r="U43" s="341"/>
      <c r="V43" s="343" t="str">
        <f t="shared" si="44"/>
        <v/>
      </c>
      <c r="W43" s="343" t="str">
        <f t="shared" si="45"/>
        <v/>
      </c>
      <c r="X43" s="198">
        <f t="shared" si="49"/>
        <v>0</v>
      </c>
      <c r="Y43" s="198">
        <f t="shared" si="49"/>
        <v>0</v>
      </c>
      <c r="Z43" s="198">
        <f t="shared" si="49"/>
        <v>0</v>
      </c>
      <c r="AA43" s="337">
        <f t="shared" si="8"/>
        <v>0</v>
      </c>
      <c r="AB43" s="199">
        <f t="shared" si="13"/>
        <v>0</v>
      </c>
      <c r="AC43" s="76"/>
      <c r="AD43" s="76"/>
      <c r="AE43" s="76"/>
      <c r="AF43" s="76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</row>
    <row r="44" spans="1:51">
      <c r="A44" s="1"/>
      <c r="B44" s="4">
        <f t="shared" si="41"/>
        <v>45624</v>
      </c>
      <c r="C44" s="29">
        <f t="shared" si="46"/>
        <v>45624</v>
      </c>
      <c r="D44" s="6">
        <f t="shared" ca="1" si="1"/>
        <v>-333</v>
      </c>
      <c r="E44" s="90" t="str">
        <f>IF(B44=0,"","Thursday")</f>
        <v>Thursday</v>
      </c>
      <c r="F44" s="45"/>
      <c r="G44" s="46"/>
      <c r="H44" s="46"/>
      <c r="I44" s="151"/>
      <c r="J44" s="46"/>
      <c r="K44" s="152" t="str">
        <f t="shared" si="42"/>
        <v/>
      </c>
      <c r="L44" s="46"/>
      <c r="M44" s="46" t="str">
        <f t="shared" si="47"/>
        <v/>
      </c>
      <c r="N44" s="301"/>
      <c r="O44" s="198">
        <f t="shared" si="3"/>
        <v>6727.6855656973885</v>
      </c>
      <c r="P44" s="249">
        <f t="shared" si="43"/>
        <v>201827.05669709216</v>
      </c>
      <c r="Q44" s="341">
        <f t="shared" si="4"/>
        <v>201827.05669709216</v>
      </c>
      <c r="R44" s="341">
        <f t="shared" si="48"/>
        <v>0</v>
      </c>
      <c r="S44" s="342" t="str">
        <f t="shared" si="12"/>
        <v/>
      </c>
      <c r="T44" s="341"/>
      <c r="U44" s="341"/>
      <c r="V44" s="343" t="str">
        <f t="shared" si="44"/>
        <v/>
      </c>
      <c r="W44" s="343" t="str">
        <f t="shared" si="45"/>
        <v/>
      </c>
      <c r="X44" s="198">
        <f t="shared" si="49"/>
        <v>0</v>
      </c>
      <c r="Y44" s="198">
        <f t="shared" si="49"/>
        <v>0</v>
      </c>
      <c r="Z44" s="198">
        <f t="shared" si="49"/>
        <v>0</v>
      </c>
      <c r="AA44" s="337">
        <f t="shared" si="8"/>
        <v>0</v>
      </c>
      <c r="AB44" s="199">
        <f t="shared" si="13"/>
        <v>0</v>
      </c>
      <c r="AC44" s="76"/>
      <c r="AD44" s="76"/>
      <c r="AE44" s="76"/>
      <c r="AF44" s="76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</row>
    <row r="45" spans="1:51">
      <c r="A45" s="1"/>
      <c r="B45" s="4">
        <f t="shared" si="41"/>
        <v>45625</v>
      </c>
      <c r="C45" s="29">
        <f t="shared" si="46"/>
        <v>45625</v>
      </c>
      <c r="D45" s="6">
        <f t="shared" ca="1" si="1"/>
        <v>-334</v>
      </c>
      <c r="E45" s="90" t="str">
        <f>IF(B45=0,"","Friday")</f>
        <v>Friday</v>
      </c>
      <c r="F45" s="45"/>
      <c r="G45" s="46"/>
      <c r="H45" s="46"/>
      <c r="I45" s="151"/>
      <c r="J45" s="46"/>
      <c r="K45" s="152" t="str">
        <f t="shared" si="42"/>
        <v/>
      </c>
      <c r="L45" s="46"/>
      <c r="M45" s="46" t="str">
        <f t="shared" si="47"/>
        <v/>
      </c>
      <c r="N45" s="301"/>
      <c r="O45" s="198">
        <f t="shared" si="3"/>
        <v>6727.6855656973885</v>
      </c>
      <c r="P45" s="249">
        <f t="shared" si="43"/>
        <v>201827.05669709216</v>
      </c>
      <c r="Q45" s="341">
        <f t="shared" si="4"/>
        <v>201827.05669709216</v>
      </c>
      <c r="R45" s="341">
        <f t="shared" si="48"/>
        <v>0</v>
      </c>
      <c r="S45" s="342" t="str">
        <f t="shared" si="12"/>
        <v/>
      </c>
      <c r="T45" s="341"/>
      <c r="U45" s="341"/>
      <c r="V45" s="343" t="str">
        <f t="shared" si="44"/>
        <v/>
      </c>
      <c r="W45" s="343" t="str">
        <f t="shared" si="45"/>
        <v/>
      </c>
      <c r="X45" s="198">
        <f t="shared" si="49"/>
        <v>0</v>
      </c>
      <c r="Y45" s="198">
        <f t="shared" si="49"/>
        <v>0</v>
      </c>
      <c r="Z45" s="198">
        <f t="shared" si="49"/>
        <v>0</v>
      </c>
      <c r="AA45" s="337">
        <f t="shared" si="8"/>
        <v>0</v>
      </c>
      <c r="AB45" s="199">
        <f t="shared" si="13"/>
        <v>0</v>
      </c>
      <c r="AC45" s="76"/>
      <c r="AD45" s="76"/>
      <c r="AE45" s="76"/>
      <c r="AF45" s="76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</row>
    <row r="46" spans="1:51">
      <c r="A46" s="1"/>
      <c r="B46" s="4">
        <f t="shared" si="41"/>
        <v>45626</v>
      </c>
      <c r="C46" s="29">
        <f t="shared" si="46"/>
        <v>45626</v>
      </c>
      <c r="D46" s="6">
        <f t="shared" ca="1" si="1"/>
        <v>-335</v>
      </c>
      <c r="E46" s="90" t="str">
        <f>IF(B46=0,"","Saturday")</f>
        <v>Saturday</v>
      </c>
      <c r="F46" s="45"/>
      <c r="G46" s="46"/>
      <c r="H46" s="46"/>
      <c r="I46" s="151"/>
      <c r="J46" s="46"/>
      <c r="K46" s="152" t="str">
        <f t="shared" si="42"/>
        <v/>
      </c>
      <c r="L46" s="46"/>
      <c r="M46" s="46" t="str">
        <f t="shared" si="47"/>
        <v/>
      </c>
      <c r="N46" s="301"/>
      <c r="O46" s="198">
        <f t="shared" si="3"/>
        <v>6727.6855656973885</v>
      </c>
      <c r="P46" s="249">
        <f t="shared" si="43"/>
        <v>201827.05669709216</v>
      </c>
      <c r="Q46" s="341">
        <f t="shared" si="4"/>
        <v>201827.05669709216</v>
      </c>
      <c r="R46" s="341">
        <f t="shared" si="48"/>
        <v>0</v>
      </c>
      <c r="S46" s="342" t="str">
        <f t="shared" si="12"/>
        <v/>
      </c>
      <c r="T46" s="341"/>
      <c r="U46" s="341"/>
      <c r="V46" s="343" t="str">
        <f t="shared" si="44"/>
        <v/>
      </c>
      <c r="W46" s="343" t="str">
        <f t="shared" si="45"/>
        <v/>
      </c>
      <c r="X46" s="198">
        <f t="shared" si="49"/>
        <v>0</v>
      </c>
      <c r="Y46" s="198">
        <f t="shared" si="49"/>
        <v>0</v>
      </c>
      <c r="Z46" s="198">
        <f t="shared" si="49"/>
        <v>0</v>
      </c>
      <c r="AA46" s="337">
        <f t="shared" si="8"/>
        <v>0</v>
      </c>
      <c r="AB46" s="199">
        <f t="shared" si="13"/>
        <v>0</v>
      </c>
      <c r="AC46" s="76"/>
      <c r="AD46" s="76"/>
      <c r="AE46" s="76"/>
      <c r="AF46" s="76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</row>
    <row r="47" spans="1:51" ht="17" thickBot="1">
      <c r="A47" s="1"/>
      <c r="B47" s="43">
        <f t="shared" si="41"/>
        <v>0</v>
      </c>
      <c r="C47" s="32">
        <f t="shared" si="46"/>
        <v>45627</v>
      </c>
      <c r="D47" s="44">
        <f t="shared" ca="1" si="1"/>
        <v>-336</v>
      </c>
      <c r="E47" s="93" t="str">
        <f>IF(B47=0,"","Sunday")</f>
        <v/>
      </c>
      <c r="F47" s="45"/>
      <c r="G47" s="46"/>
      <c r="H47" s="46"/>
      <c r="I47" s="151"/>
      <c r="J47" s="46"/>
      <c r="K47" s="152" t="str">
        <f t="shared" si="42"/>
        <v/>
      </c>
      <c r="L47" s="46"/>
      <c r="M47" s="46" t="str">
        <f t="shared" si="47"/>
        <v/>
      </c>
      <c r="N47" s="302"/>
      <c r="O47" s="198" t="str">
        <f t="shared" si="3"/>
        <v/>
      </c>
      <c r="P47" s="249">
        <f t="shared" si="43"/>
        <v>201827.05669709216</v>
      </c>
      <c r="Q47" s="341">
        <f t="shared" si="4"/>
        <v>201827.05669709216</v>
      </c>
      <c r="R47" s="341">
        <f t="shared" si="48"/>
        <v>0</v>
      </c>
      <c r="S47" s="342" t="str">
        <f t="shared" si="12"/>
        <v/>
      </c>
      <c r="T47" s="341"/>
      <c r="U47" s="341"/>
      <c r="V47" s="343" t="str">
        <f t="shared" si="44"/>
        <v/>
      </c>
      <c r="W47" s="343" t="str">
        <f t="shared" si="45"/>
        <v/>
      </c>
      <c r="X47" s="198">
        <f t="shared" si="49"/>
        <v>0</v>
      </c>
      <c r="Y47" s="198">
        <f t="shared" si="49"/>
        <v>0</v>
      </c>
      <c r="Z47" s="198">
        <f t="shared" si="49"/>
        <v>0</v>
      </c>
      <c r="AA47" s="337">
        <f t="shared" si="8"/>
        <v>0</v>
      </c>
      <c r="AB47" s="199">
        <f t="shared" si="13"/>
        <v>0</v>
      </c>
      <c r="AC47" s="76"/>
      <c r="AD47" s="76"/>
      <c r="AE47" s="76"/>
      <c r="AF47" s="76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</row>
    <row r="48" spans="1:51" ht="17" customHeight="1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98" t="str">
        <f t="shared" si="3"/>
        <v/>
      </c>
      <c r="P48" s="76"/>
      <c r="Q48" s="341">
        <f t="shared" si="4"/>
        <v>0</v>
      </c>
      <c r="R48" s="339"/>
      <c r="S48" s="342" t="str">
        <f t="shared" si="12"/>
        <v/>
      </c>
      <c r="T48" s="339"/>
      <c r="U48" s="339"/>
      <c r="V48" s="339"/>
      <c r="W48" s="339"/>
      <c r="X48" s="198"/>
      <c r="Y48" s="198" t="str">
        <f>IF(A48=0,"",G48+Y36)</f>
        <v/>
      </c>
      <c r="Z48" s="198" t="str">
        <f>IF(B48=0,"",H48+Z36)</f>
        <v/>
      </c>
      <c r="AA48" s="337"/>
      <c r="AB48" s="199">
        <f t="shared" si="13"/>
        <v>0</v>
      </c>
      <c r="AC48" s="76"/>
      <c r="AD48" s="76"/>
      <c r="AE48" s="76"/>
      <c r="AF48" s="76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</row>
    <row r="49" spans="1:51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25.08222291089157</v>
      </c>
      <c r="G49" s="53">
        <f>H49*1.0936113</f>
        <v>44144.713735800004</v>
      </c>
      <c r="H49" s="5">
        <f>INT(SUM($O41:$O47))</f>
        <v>40366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98" t="str">
        <f t="shared" si="3"/>
        <v/>
      </c>
      <c r="P49" s="77"/>
      <c r="Q49" s="341">
        <f t="shared" si="4"/>
        <v>0</v>
      </c>
      <c r="R49" s="336"/>
      <c r="S49" s="342" t="str">
        <f t="shared" si="12"/>
        <v/>
      </c>
      <c r="T49" s="336"/>
      <c r="U49" s="336"/>
      <c r="V49" s="336"/>
      <c r="W49" s="336"/>
      <c r="X49" s="198"/>
      <c r="Y49" s="198" t="str">
        <f>IF(A49=0,"",G49+Y37)</f>
        <v/>
      </c>
      <c r="Z49" s="198" t="str">
        <f>IF(B49=0,"",H49+Z37)</f>
        <v/>
      </c>
      <c r="AA49" s="337"/>
      <c r="AB49" s="199">
        <f t="shared" si="13"/>
        <v>0</v>
      </c>
      <c r="AC49" s="76"/>
      <c r="AD49" s="76"/>
      <c r="AE49" s="76"/>
      <c r="AF49" s="76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</row>
    <row r="50" spans="1:51" ht="17" thickTop="1">
      <c r="A50" s="1"/>
      <c r="B50" s="47">
        <f>IF(B$3&lt;C50,0,C50)</f>
        <v>0</v>
      </c>
      <c r="C50" s="31">
        <f>C47+1</f>
        <v>45628</v>
      </c>
      <c r="D50" s="18">
        <f t="shared" ca="1" si="1"/>
        <v>-337</v>
      </c>
      <c r="E50" s="94" t="str">
        <f>IF(B50=0,"","Monday")</f>
        <v/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98" t="str">
        <f t="shared" si="3"/>
        <v/>
      </c>
      <c r="P50" s="249">
        <f>H$56</f>
        <v>201827.05669709216</v>
      </c>
      <c r="Q50" s="341">
        <f t="shared" si="4"/>
        <v>201827.05669709216</v>
      </c>
      <c r="R50" s="341">
        <f>IF(R$2=3,H50+G50/1.0936133+F50/0.0006213712,IF(R$2=2,H50*1.0936133+G50+F50/0.0005681818,IF(R$2=1,H50*0.0005681818*1.0936133+G50*0.0005681818+F50,"")))</f>
        <v>0</v>
      </c>
      <c r="S50" s="342" t="str">
        <f t="shared" si="12"/>
        <v/>
      </c>
      <c r="T50" s="341"/>
      <c r="U50" s="341"/>
      <c r="V50" s="343" t="str">
        <f>IF(L50="","",IF(R50=0,"",IF(B50=0,"",IF($R$2=3,R50/L50*60/1000,IF($R$2=2,R50/L50*60/1760,IF($R$2=1,R50/L50*60,""))))))</f>
        <v/>
      </c>
      <c r="W50" s="343" t="str">
        <f>IF(R50=0,"",IF(L50="","",V50*L50))</f>
        <v/>
      </c>
      <c r="X50" s="198">
        <f>F50+X47</f>
        <v>0</v>
      </c>
      <c r="Y50" s="198">
        <f>G50+Y47</f>
        <v>0</v>
      </c>
      <c r="Z50" s="198">
        <f>H50+Z47</f>
        <v>0</v>
      </c>
      <c r="AA50" s="337">
        <f t="shared" si="8"/>
        <v>0</v>
      </c>
      <c r="AB50" s="199">
        <f t="shared" si="13"/>
        <v>0</v>
      </c>
      <c r="AC50" s="76"/>
      <c r="AD50" s="76"/>
      <c r="AE50" s="76"/>
      <c r="AF50" s="76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</row>
    <row r="51" spans="1:51" ht="17" thickBot="1">
      <c r="A51" s="1"/>
      <c r="B51" s="4">
        <f>IF(B$3&lt;C51,0,C51)</f>
        <v>0</v>
      </c>
      <c r="C51" s="29">
        <f>C50+1</f>
        <v>45629</v>
      </c>
      <c r="D51" s="6">
        <f t="shared" ca="1" si="1"/>
        <v>-338</v>
      </c>
      <c r="E51" s="90" t="str">
        <f>IF(B51=0,"","Tuesday")</f>
        <v/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98" t="str">
        <f t="shared" si="3"/>
        <v/>
      </c>
      <c r="P51" s="249">
        <f>H$56</f>
        <v>201827.05669709216</v>
      </c>
      <c r="Q51" s="341">
        <f t="shared" si="4"/>
        <v>201827.05669709216</v>
      </c>
      <c r="R51" s="341">
        <f>IF(R$2=3,H51+G51/1.0936133+F51/0.0006213712,IF(R$2=2,H51*1.0936133+G51+F51/0.0005681818,IF(R$2=1,H51*0.0005681818*1.0936133+G51*0.0005681818+F51,"")))</f>
        <v>0</v>
      </c>
      <c r="S51" s="342" t="str">
        <f t="shared" si="12"/>
        <v/>
      </c>
      <c r="T51" s="341"/>
      <c r="U51" s="341"/>
      <c r="V51" s="343" t="str">
        <f>IF(L51="","",IF(R51=0,"",IF(B51=0,"",IF($R$2=3,R51/L51*60/1000,IF($R$2=2,R51/L51*60/1760,IF($R$2=1,R51/L51*60,""))))))</f>
        <v/>
      </c>
      <c r="W51" s="343" t="str">
        <f>IF(R51=0,"",IF(L51="","",V51*L51))</f>
        <v/>
      </c>
      <c r="X51" s="198">
        <f>F51+X50</f>
        <v>0</v>
      </c>
      <c r="Y51" s="198">
        <f>G51+Y50</f>
        <v>0</v>
      </c>
      <c r="Z51" s="198">
        <f>H51+Z50</f>
        <v>0</v>
      </c>
      <c r="AA51" s="337">
        <f t="shared" si="8"/>
        <v>0</v>
      </c>
      <c r="AB51" s="199">
        <f t="shared" si="13"/>
        <v>0</v>
      </c>
      <c r="AC51" s="76"/>
      <c r="AD51" s="76"/>
      <c r="AE51" s="76"/>
      <c r="AF51" s="76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</row>
    <row r="52" spans="1:51" ht="18" thickTop="1" thickBot="1">
      <c r="A52" s="25"/>
      <c r="B52" s="12"/>
      <c r="C52" s="33"/>
      <c r="D52" s="50"/>
      <c r="E52" s="89" t="s">
        <v>65</v>
      </c>
      <c r="F52" s="49">
        <f ca="1">G52*0.000568181818</f>
        <v>-6.2137005661934355E-59</v>
      </c>
      <c r="G52" s="15">
        <f ca="1">H52*1.0936113</f>
        <v>-1.0936113000000001E-55</v>
      </c>
      <c r="H52" s="102">
        <f ca="1">IF(SUM(B50:B51)=0,-1E-55,IF(TODAY()&gt;=B50,(AA51-AA47)*1000,-2E-55))</f>
        <v>-9.9999999999999999E-56</v>
      </c>
      <c r="I52" s="250"/>
      <c r="J52" s="495" t="s">
        <v>93</v>
      </c>
      <c r="K52" s="496"/>
      <c r="L52" s="496"/>
      <c r="M52" s="253"/>
      <c r="N52" s="254" t="str">
        <f>IF(R$2=1,"Distance (miles)",IF(R$2=2,"Distance (yds)",IF(R$2=3,"Distance (km)","????")))</f>
        <v>Distance (km)</v>
      </c>
      <c r="O52" s="198"/>
      <c r="P52" s="77" t="s">
        <v>1</v>
      </c>
      <c r="Q52" s="77" t="s">
        <v>2</v>
      </c>
      <c r="R52" s="77" t="s">
        <v>3</v>
      </c>
      <c r="S52" s="77" t="s">
        <v>4</v>
      </c>
      <c r="T52" s="77" t="s">
        <v>5</v>
      </c>
      <c r="U52" s="77" t="s">
        <v>6</v>
      </c>
      <c r="V52" s="77" t="s">
        <v>7</v>
      </c>
      <c r="W52" s="198"/>
      <c r="X52" s="198"/>
      <c r="Y52" s="198"/>
      <c r="Z52" s="337"/>
      <c r="AA52" s="199"/>
      <c r="AB52" s="76"/>
      <c r="AC52" s="76"/>
      <c r="AD52" s="76"/>
      <c r="AE52" s="76"/>
      <c r="AF52" s="76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</row>
    <row r="53" spans="1:51" ht="17" thickBot="1">
      <c r="A53" s="24"/>
      <c r="B53" s="13"/>
      <c r="C53" s="30"/>
      <c r="D53" s="51"/>
      <c r="E53" s="92" t="s">
        <v>27</v>
      </c>
      <c r="F53" s="52">
        <f>G53*0.0005681818</f>
        <v>-6.2137003693434006E-59</v>
      </c>
      <c r="G53" s="53">
        <f>H53*1.0936113</f>
        <v>-1.0936113000000001E-55</v>
      </c>
      <c r="H53" s="104">
        <f>IF(SUM($O50:$O51)=0,-1E-55,SUM($O50:$O51))</f>
        <v>-9.9999999999999999E-56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287" t="s">
        <v>48</v>
      </c>
      <c r="P53" s="77">
        <f t="shared" ref="P53:V53" si="50">COUNTIFS($E$5:$E$51,P52)</f>
        <v>4</v>
      </c>
      <c r="Q53" s="77">
        <f t="shared" si="50"/>
        <v>4</v>
      </c>
      <c r="R53" s="77">
        <f t="shared" si="50"/>
        <v>4</v>
      </c>
      <c r="S53" s="77">
        <f t="shared" si="50"/>
        <v>4</v>
      </c>
      <c r="T53" s="77">
        <f t="shared" si="50"/>
        <v>5</v>
      </c>
      <c r="U53" s="77">
        <f t="shared" si="50"/>
        <v>5</v>
      </c>
      <c r="V53" s="77">
        <f t="shared" si="50"/>
        <v>4</v>
      </c>
      <c r="W53" s="198"/>
      <c r="X53" s="198"/>
      <c r="Y53" s="198"/>
      <c r="Z53" s="337"/>
      <c r="AA53" s="199"/>
      <c r="AB53" s="76"/>
      <c r="AC53" s="76"/>
      <c r="AD53" s="76"/>
      <c r="AE53" s="76"/>
      <c r="AF53" s="76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</row>
    <row r="54" spans="1:51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1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287" t="s">
        <v>47</v>
      </c>
      <c r="P54" s="77">
        <f t="shared" ref="P54:V54" ca="1" si="52">COUNTIFS($D$5:$D$51,"&gt;-1",$E$5:$E$51,P52)</f>
        <v>0</v>
      </c>
      <c r="Q54" s="77">
        <f t="shared" ca="1" si="52"/>
        <v>0</v>
      </c>
      <c r="R54" s="77">
        <f t="shared" ca="1" si="52"/>
        <v>0</v>
      </c>
      <c r="S54" s="77">
        <f t="shared" ca="1" si="52"/>
        <v>0</v>
      </c>
      <c r="T54" s="77">
        <f t="shared" ca="1" si="52"/>
        <v>0</v>
      </c>
      <c r="U54" s="77">
        <f t="shared" ca="1" si="52"/>
        <v>0</v>
      </c>
      <c r="V54" s="77">
        <f t="shared" ca="1" si="52"/>
        <v>0</v>
      </c>
      <c r="W54" s="198"/>
      <c r="X54" s="198"/>
      <c r="Y54" s="198"/>
      <c r="Z54" s="337"/>
      <c r="AA54" s="199"/>
      <c r="AB54" s="76"/>
      <c r="AC54" s="76"/>
      <c r="AD54" s="76"/>
      <c r="AE54" s="76"/>
      <c r="AF54" s="76"/>
      <c r="AG54" s="79"/>
      <c r="AH54" s="79"/>
      <c r="AI54" s="79"/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</row>
    <row r="55" spans="1:51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1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287" t="s">
        <v>66</v>
      </c>
      <c r="P55" s="77">
        <f t="shared" ref="P55:V55" si="53">COUNTIFS($E$5:$E$51,P52,$R$5:$R$51,"&gt;0")</f>
        <v>0</v>
      </c>
      <c r="Q55" s="77">
        <f t="shared" si="53"/>
        <v>0</v>
      </c>
      <c r="R55" s="77">
        <f t="shared" si="53"/>
        <v>0</v>
      </c>
      <c r="S55" s="77">
        <f t="shared" si="53"/>
        <v>0</v>
      </c>
      <c r="T55" s="77">
        <f t="shared" si="53"/>
        <v>0</v>
      </c>
      <c r="U55" s="77">
        <f t="shared" si="53"/>
        <v>0</v>
      </c>
      <c r="V55" s="77">
        <f t="shared" si="53"/>
        <v>0</v>
      </c>
      <c r="W55" s="198"/>
      <c r="X55" s="198"/>
      <c r="Y55" s="198"/>
      <c r="Z55" s="337"/>
      <c r="AA55" s="199"/>
      <c r="AB55" s="76"/>
      <c r="AC55" s="76"/>
      <c r="AD55" s="76"/>
      <c r="AE55" s="76"/>
      <c r="AF55" s="76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</row>
    <row r="56" spans="1:51" ht="17" thickBot="1">
      <c r="A56" s="27"/>
      <c r="B56" s="35"/>
      <c r="C56" s="35"/>
      <c r="D56" s="35"/>
      <c r="E56" s="17" t="s">
        <v>41</v>
      </c>
      <c r="F56" s="37">
        <f>G56*0.000568181818</f>
        <v>125.40928964718761</v>
      </c>
      <c r="G56" s="38">
        <f>H56*1.0936113</f>
        <v>220720.34984968067</v>
      </c>
      <c r="H56" s="106">
        <f>SUM(H$53,H40,H31,H22,H49,H13)-1</f>
        <v>201827.05669709216</v>
      </c>
      <c r="I56" s="252"/>
      <c r="J56" s="257" t="str">
        <f>'MY STATS'!AI47</f>
        <v/>
      </c>
      <c r="K56" s="126" t="str">
        <f t="shared" si="51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287" t="s">
        <v>106</v>
      </c>
      <c r="P56" s="77"/>
      <c r="Q56" s="77"/>
      <c r="R56" s="77"/>
      <c r="S56" s="77"/>
      <c r="T56" s="77"/>
      <c r="U56" s="77"/>
      <c r="V56" s="77"/>
      <c r="W56" s="198"/>
      <c r="X56" s="198"/>
      <c r="Y56" s="198"/>
      <c r="Z56" s="337"/>
      <c r="AA56" s="199"/>
      <c r="AB56" s="76"/>
      <c r="AC56" s="76"/>
      <c r="AD56" s="76"/>
      <c r="AE56" s="76"/>
      <c r="AF56" s="76"/>
      <c r="AG56" s="79"/>
      <c r="AH56" s="79"/>
      <c r="AI56" s="79"/>
      <c r="AJ56" s="79"/>
      <c r="AK56" s="79"/>
      <c r="AL56" s="79"/>
      <c r="AM56" s="79"/>
      <c r="AN56" s="79"/>
      <c r="AO56" s="79"/>
      <c r="AP56" s="79"/>
      <c r="AQ56" s="79"/>
      <c r="AR56" s="79"/>
      <c r="AS56" s="79"/>
      <c r="AT56" s="79"/>
      <c r="AU56" s="79"/>
      <c r="AV56" s="79"/>
      <c r="AW56" s="79"/>
      <c r="AX56" s="79"/>
    </row>
    <row r="57" spans="1:51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287" t="s">
        <v>97</v>
      </c>
      <c r="P57" s="249">
        <f t="shared" ref="P57:V57" si="54">SUMIF($E$5:$E$51,P52,$S$5:$S$51)</f>
        <v>0</v>
      </c>
      <c r="Q57" s="249">
        <f t="shared" si="54"/>
        <v>0</v>
      </c>
      <c r="R57" s="249">
        <f t="shared" si="54"/>
        <v>0</v>
      </c>
      <c r="S57" s="249">
        <f t="shared" si="54"/>
        <v>0</v>
      </c>
      <c r="T57" s="249">
        <f t="shared" si="54"/>
        <v>0</v>
      </c>
      <c r="U57" s="249">
        <f t="shared" si="54"/>
        <v>0</v>
      </c>
      <c r="V57" s="249">
        <f t="shared" si="54"/>
        <v>0</v>
      </c>
      <c r="W57" s="76"/>
      <c r="X57" s="76"/>
      <c r="Y57" s="76"/>
      <c r="Z57" s="77"/>
      <c r="AA57" s="76"/>
      <c r="AB57" s="76"/>
      <c r="AC57" s="76"/>
      <c r="AD57" s="76"/>
      <c r="AE57" s="76"/>
      <c r="AF57" s="76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</row>
    <row r="58" spans="1:51" ht="18" thickTop="1" thickBot="1">
      <c r="A58" s="63">
        <f>A1</f>
        <v>11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287" t="s">
        <v>98</v>
      </c>
      <c r="P58" s="288">
        <f>IF(COUNTIFS($E$5:$E$51,P52,$L$5:$L$51,"&gt;0")=0,0,(SUMIF($E$5:$E$51,P52,$L$5:$L$51)+IF(SUMIF($E$5:$E$51,P52,$R$5:$R$51)=0,-SUMIF($E$5:$E$51,P52,$L$5:$L$51)))/60)</f>
        <v>0</v>
      </c>
      <c r="Q58" s="288">
        <f t="shared" ref="Q58:V58" si="55">IF(COUNTIFS($E$5:$E$51,Q52,$L$5:$L$51,"&gt;0")=0,0,(SUMIF($E$5:$E$51,Q52,$L$5:$L$51)+IF(SUMIF($E$5:$E$51,Q52,$R$5:$R$51)=0,-SUMIF($E$5:$E$51,Q52,$L$5:$L$51)))/60)</f>
        <v>0</v>
      </c>
      <c r="R58" s="288">
        <f t="shared" si="55"/>
        <v>0</v>
      </c>
      <c r="S58" s="288">
        <f t="shared" si="55"/>
        <v>0</v>
      </c>
      <c r="T58" s="288">
        <f t="shared" si="55"/>
        <v>0</v>
      </c>
      <c r="U58" s="288">
        <f t="shared" si="55"/>
        <v>0</v>
      </c>
      <c r="V58" s="288">
        <f t="shared" si="55"/>
        <v>0</v>
      </c>
      <c r="W58" s="76"/>
      <c r="X58" s="76"/>
      <c r="Y58" s="76"/>
      <c r="Z58" s="77"/>
      <c r="AA58" s="76"/>
      <c r="AB58" s="76"/>
      <c r="AC58" s="76"/>
      <c r="AD58" s="76"/>
      <c r="AE58" s="76"/>
      <c r="AF58" s="76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</row>
    <row r="59" spans="1:51" ht="18" thickTop="1" thickBot="1">
      <c r="A59" s="66">
        <f>A1</f>
        <v>11</v>
      </c>
      <c r="B59" s="67"/>
      <c r="C59" s="68"/>
      <c r="D59" s="59"/>
      <c r="E59" s="60" t="s">
        <v>52</v>
      </c>
      <c r="F59" s="61">
        <f>G59*0.000568181818</f>
        <v>233.40121249934495</v>
      </c>
      <c r="G59" s="62">
        <f>H59*1.0936113</f>
        <v>410786.13413029863</v>
      </c>
      <c r="H59" s="107">
        <f>VLOOKUP($A$1,'MY STATS'!B$32:K$43,10)</f>
        <v>375623.52741810423</v>
      </c>
      <c r="I59" s="251"/>
      <c r="J59" s="261" t="s">
        <v>57</v>
      </c>
      <c r="K59" s="262" t="str">
        <f t="shared" si="51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287" t="s">
        <v>88</v>
      </c>
      <c r="P59" s="197">
        <f>IFERROR(IF('MY STATS'!$A16=1,P57/P58,IF('MY STATS'!$A16=2,P57/1760/P58,IF('MY STATS'!$A16=3,P57/1000/P58,0))),0)</f>
        <v>0</v>
      </c>
      <c r="Q59" s="197">
        <f>IFERROR(IF('MY STATS'!$A16=1,Q57/Q58,IF('MY STATS'!$A16=2,Q57/1760/Q58,IF('MY STATS'!$A16=3,Q57/1000/Q58,0))),0)</f>
        <v>0</v>
      </c>
      <c r="R59" s="197">
        <f>IFERROR(IF('MY STATS'!$A16=1,R57/R58,IF('MY STATS'!$A16=2,R57/1760/R58,IF('MY STATS'!$A16=3,R57/1000/R58,0))),0)</f>
        <v>0</v>
      </c>
      <c r="S59" s="197">
        <f>IFERROR(IF('MY STATS'!$A16=1,S57/S58,IF('MY STATS'!$A16=2,S57/1760/S58,IF('MY STATS'!$A16=3,S57/1000/S58,0))),0)</f>
        <v>0</v>
      </c>
      <c r="T59" s="197">
        <f>IFERROR(IF('MY STATS'!$A16=1,T57/T58,IF('MY STATS'!$A16=2,T57/1760/T58,IF('MY STATS'!$A16=3,T57/1000/T58,0))),0)</f>
        <v>0</v>
      </c>
      <c r="U59" s="197">
        <f>IFERROR(IF('MY STATS'!$A16=1,U57/U58,IF('MY STATS'!$A16=2,U57/1760/U58,IF('MY STATS'!$A16=3,U57/1000/U58,0))),0)</f>
        <v>0</v>
      </c>
      <c r="V59" s="197">
        <f>IFERROR(IF('MY STATS'!$A16=1,V57/V58,IF('MY STATS'!$A16=2,V57/1760/V58,IF('MY STATS'!$A16=3,V57/1000/V58,0))),0)</f>
        <v>0</v>
      </c>
      <c r="W59" s="76"/>
      <c r="X59" s="76"/>
      <c r="Y59" s="76"/>
      <c r="Z59" s="77"/>
      <c r="AA59" s="76"/>
      <c r="AB59" s="76"/>
      <c r="AC59" s="76"/>
      <c r="AD59" s="76"/>
      <c r="AE59" s="76"/>
      <c r="AF59" s="76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</row>
    <row r="60" spans="1:51" ht="17" thickTop="1"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9"/>
      <c r="AH60" s="79"/>
      <c r="AI60" s="79"/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</row>
    <row r="61" spans="1:51"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9"/>
      <c r="AH61" s="79"/>
      <c r="AI61" s="79"/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</row>
    <row r="62" spans="1:51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9"/>
      <c r="AH62" s="79"/>
      <c r="AI62" s="79"/>
      <c r="AJ62" s="79"/>
      <c r="AK62" s="79"/>
      <c r="AL62" s="79"/>
      <c r="AM62" s="79"/>
      <c r="AN62" s="79"/>
      <c r="AO62" s="79"/>
      <c r="AP62" s="79"/>
      <c r="AQ62" s="79"/>
      <c r="AR62" s="79"/>
      <c r="AS62" s="79"/>
      <c r="AT62" s="79"/>
      <c r="AU62" s="79"/>
      <c r="AV62" s="79"/>
      <c r="AW62" s="79"/>
      <c r="AX62" s="79"/>
      <c r="AY62" s="79"/>
    </row>
    <row r="63" spans="1:51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</row>
    <row r="64" spans="1:51">
      <c r="O64" s="76"/>
      <c r="P64" s="76"/>
      <c r="Q64" s="76"/>
      <c r="R64" s="76"/>
      <c r="S64" s="76"/>
      <c r="T64" s="76"/>
      <c r="U64" s="76"/>
      <c r="V64" s="76"/>
      <c r="W64" s="76"/>
      <c r="X64" s="77"/>
      <c r="Y64" s="76"/>
      <c r="Z64" s="76"/>
      <c r="AA64" s="76"/>
      <c r="AB64" s="76"/>
      <c r="AC64" s="76"/>
      <c r="AD64" s="76"/>
      <c r="AE64" s="76"/>
      <c r="AF64" s="76"/>
    </row>
    <row r="65" spans="15:32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6"/>
      <c r="AC65" s="76"/>
      <c r="AD65" s="76"/>
      <c r="AE65" s="76"/>
      <c r="AF65" s="76"/>
    </row>
    <row r="66" spans="15:32" customFormat="1"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7"/>
      <c r="AA66" s="76"/>
      <c r="AB66" s="76"/>
      <c r="AC66" s="76"/>
      <c r="AD66" s="76"/>
      <c r="AE66" s="76"/>
      <c r="AF66" s="76"/>
    </row>
    <row r="67" spans="15:32"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76"/>
      <c r="AC67" s="76"/>
      <c r="AD67" s="76"/>
      <c r="AE67" s="76"/>
      <c r="AF67" s="76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2612" priority="2965" stopIfTrue="1" operator="notBetween">
      <formula>$B$2</formula>
      <formula>$B$3</formula>
    </cfRule>
  </conditionalFormatting>
  <conditionalFormatting sqref="B14:B20 B23:B29 B49:B51 B40:B47 B53 B31:B38 D3 B5:B11">
    <cfRule type="cellIs" dxfId="2611" priority="2966" operator="greaterThan">
      <formula>$E$3</formula>
    </cfRule>
    <cfRule type="cellIs" dxfId="2610" priority="2967" operator="equal">
      <formula>$E$3</formula>
    </cfRule>
    <cfRule type="cellIs" dxfId="2609" priority="2968" operator="lessThan">
      <formula>$E$3</formula>
    </cfRule>
  </conditionalFormatting>
  <conditionalFormatting sqref="F58:H58 F55:H55">
    <cfRule type="expression" dxfId="2608" priority="2963">
      <formula>$F55&gt;=$F56</formula>
    </cfRule>
  </conditionalFormatting>
  <conditionalFormatting sqref="F5:H10 F14:G20 F23:G29 F38:H38 F41:H47 F11:G11 F32:G37">
    <cfRule type="cellIs" dxfId="2607" priority="2953" stopIfTrue="1" operator="lessThan">
      <formula>0</formula>
    </cfRule>
  </conditionalFormatting>
  <conditionalFormatting sqref="C32:C38 C41:C47 C50:C51 C14:C20 C23:C29 C5:C11">
    <cfRule type="cellIs" dxfId="2606" priority="2958" stopIfTrue="1" operator="notBetween">
      <formula>$B$2</formula>
      <formula>$B$3</formula>
    </cfRule>
  </conditionalFormatting>
  <conditionalFormatting sqref="C41:C47 C50:C51 C32:C38 C14:C20 C23:C29 C5:C11">
    <cfRule type="cellIs" dxfId="2605" priority="2959" operator="greaterThan">
      <formula>$E$3</formula>
    </cfRule>
    <cfRule type="cellIs" dxfId="2604" priority="2960" operator="equal">
      <formula>$E$3</formula>
    </cfRule>
    <cfRule type="cellIs" dxfId="2603" priority="2961" operator="lessThan">
      <formula>$E$3</formula>
    </cfRule>
  </conditionalFormatting>
  <conditionalFormatting sqref="F14:G20 F23:G29 F38:H38 F41:H47 F32:G37">
    <cfRule type="expression" dxfId="2602" priority="2957">
      <formula>$C14&lt;$E$3</formula>
    </cfRule>
  </conditionalFormatting>
  <conditionalFormatting sqref="F5:H10 F14:G20 F23:G29 F38:H38 F41:H47 F11:G11 F32:G37">
    <cfRule type="expression" dxfId="2601" priority="2954">
      <formula>$C5=$E$3</formula>
    </cfRule>
    <cfRule type="expression" dxfId="2600" priority="2955">
      <formula>$C5&lt;$E$3</formula>
    </cfRule>
    <cfRule type="cellIs" dxfId="2599" priority="2956" operator="equal">
      <formula>0</formula>
    </cfRule>
    <cfRule type="expression" dxfId="2598" priority="2962">
      <formula>$C5&gt;$E$3</formula>
    </cfRule>
  </conditionalFormatting>
  <conditionalFormatting sqref="F12:G12">
    <cfRule type="expression" dxfId="2597" priority="2952">
      <formula>$F12&gt;=$F13</formula>
    </cfRule>
  </conditionalFormatting>
  <conditionalFormatting sqref="F21:G21">
    <cfRule type="expression" dxfId="2596" priority="2951">
      <formula>$F21&gt;=$F22</formula>
    </cfRule>
  </conditionalFormatting>
  <conditionalFormatting sqref="F39:H39">
    <cfRule type="expression" dxfId="2595" priority="2950">
      <formula>$F39&gt;=$F40</formula>
    </cfRule>
  </conditionalFormatting>
  <conditionalFormatting sqref="F30:G30">
    <cfRule type="expression" dxfId="2594" priority="2949">
      <formula>$F30&gt;=$F31</formula>
    </cfRule>
  </conditionalFormatting>
  <conditionalFormatting sqref="F48:H48">
    <cfRule type="expression" dxfId="2593" priority="2947" stopIfTrue="1">
      <formula>$H$48=-1E-55</formula>
    </cfRule>
    <cfRule type="expression" dxfId="2592" priority="2948">
      <formula>$F48&gt;=$F49</formula>
    </cfRule>
  </conditionalFormatting>
  <conditionalFormatting sqref="F14:G20 F23:G29 F38:H38 F41:H47 F32:G37">
    <cfRule type="expression" dxfId="2591" priority="2946">
      <formula>$C14&lt;$E$3</formula>
    </cfRule>
  </conditionalFormatting>
  <conditionalFormatting sqref="F14:G20 F5:H10 F23:G29 F38:H38 F41:H47 F11:G11 F32:G37">
    <cfRule type="expression" dxfId="2590" priority="2942">
      <formula>$C5=$E$3</formula>
    </cfRule>
    <cfRule type="expression" dxfId="2589" priority="2943">
      <formula>$C5&lt;$E$3</formula>
    </cfRule>
    <cfRule type="cellIs" dxfId="2588" priority="2944" operator="equal">
      <formula>0</formula>
    </cfRule>
    <cfRule type="expression" dxfId="2587" priority="2945">
      <formula>$C5&gt;$E$3</formula>
    </cfRule>
  </conditionalFormatting>
  <conditionalFormatting sqref="F12:G12">
    <cfRule type="expression" dxfId="2586" priority="2941">
      <formula>$F12&gt;=$F13</formula>
    </cfRule>
  </conditionalFormatting>
  <conditionalFormatting sqref="F21:G21">
    <cfRule type="expression" dxfId="2585" priority="2940">
      <formula>$F21&gt;=$F22</formula>
    </cfRule>
  </conditionalFormatting>
  <conditionalFormatting sqref="F39:H39">
    <cfRule type="expression" dxfId="2584" priority="2939">
      <formula>$F39&gt;=$F40</formula>
    </cfRule>
  </conditionalFormatting>
  <conditionalFormatting sqref="F30:G30">
    <cfRule type="expression" dxfId="2583" priority="2938">
      <formula>$F30&gt;=$F31</formula>
    </cfRule>
  </conditionalFormatting>
  <conditionalFormatting sqref="F48:H48">
    <cfRule type="expression" dxfId="2582" priority="2936" stopIfTrue="1">
      <formula>$E$41=""</formula>
    </cfRule>
    <cfRule type="expression" dxfId="2581" priority="2937">
      <formula>$F48&gt;=$F49</formula>
    </cfRule>
  </conditionalFormatting>
  <conditionalFormatting sqref="F41:H47">
    <cfRule type="expression" dxfId="2580" priority="2935">
      <formula>$E41=""</formula>
    </cfRule>
  </conditionalFormatting>
  <conditionalFormatting sqref="F47:H47">
    <cfRule type="expression" dxfId="2579" priority="2934">
      <formula>$E$46=""</formula>
    </cfRule>
  </conditionalFormatting>
  <conditionalFormatting sqref="F45:H45">
    <cfRule type="expression" dxfId="2578" priority="2933">
      <formula>$E45=""</formula>
    </cfRule>
  </conditionalFormatting>
  <conditionalFormatting sqref="F5:H10 F11:G11">
    <cfRule type="expression" dxfId="2577" priority="2932">
      <formula>$C5&lt;$E$3</formula>
    </cfRule>
  </conditionalFormatting>
  <conditionalFormatting sqref="F5:H10 F11:G11">
    <cfRule type="expression" dxfId="2576" priority="2931">
      <formula>$E5=""</formula>
    </cfRule>
  </conditionalFormatting>
  <conditionalFormatting sqref="F5:H10 F11:G11">
    <cfRule type="expression" dxfId="2575" priority="2927">
      <formula>$C5=$E$3</formula>
    </cfRule>
    <cfRule type="expression" dxfId="2574" priority="2928">
      <formula>$C5&lt;$E$3</formula>
    </cfRule>
    <cfRule type="cellIs" dxfId="2573" priority="2929" operator="equal">
      <formula>0</formula>
    </cfRule>
    <cfRule type="expression" dxfId="2572" priority="2930">
      <formula>$C5&gt;$E$3</formula>
    </cfRule>
  </conditionalFormatting>
  <conditionalFormatting sqref="F5:H10 F11:G11">
    <cfRule type="expression" dxfId="2571" priority="2926">
      <formula>$C5&lt;$E$3</formula>
    </cfRule>
  </conditionalFormatting>
  <conditionalFormatting sqref="F5:H10 F11:G11">
    <cfRule type="expression" dxfId="2570" priority="2925">
      <formula>$E5=""</formula>
    </cfRule>
  </conditionalFormatting>
  <conditionalFormatting sqref="F14:G20">
    <cfRule type="expression" dxfId="2569" priority="2924">
      <formula>$C14&lt;$E$3</formula>
    </cfRule>
  </conditionalFormatting>
  <conditionalFormatting sqref="F14:G20">
    <cfRule type="expression" dxfId="2568" priority="2920">
      <formula>$C14=$E$3</formula>
    </cfRule>
    <cfRule type="expression" dxfId="2567" priority="2921">
      <formula>$C14&lt;$E$3</formula>
    </cfRule>
    <cfRule type="cellIs" dxfId="2566" priority="2922" operator="equal">
      <formula>0</formula>
    </cfRule>
    <cfRule type="expression" dxfId="2565" priority="2923">
      <formula>$C14&gt;$E$3</formula>
    </cfRule>
  </conditionalFormatting>
  <conditionalFormatting sqref="F5:H10 F11:G11">
    <cfRule type="expression" dxfId="2564" priority="2919">
      <formula>$C5&lt;$E$3</formula>
    </cfRule>
  </conditionalFormatting>
  <conditionalFormatting sqref="F5:H10 F11:G11">
    <cfRule type="expression" dxfId="2563" priority="2915">
      <formula>$C5=$E$3</formula>
    </cfRule>
    <cfRule type="expression" dxfId="2562" priority="2916">
      <formula>$C5&lt;$E$3</formula>
    </cfRule>
    <cfRule type="cellIs" dxfId="2561" priority="2917" operator="equal">
      <formula>0</formula>
    </cfRule>
    <cfRule type="expression" dxfId="2560" priority="2918">
      <formula>$C5&gt;$E$3</formula>
    </cfRule>
  </conditionalFormatting>
  <conditionalFormatting sqref="F5:H10 F11:G11">
    <cfRule type="expression" dxfId="2559" priority="2914">
      <formula>$E5=""</formula>
    </cfRule>
  </conditionalFormatting>
  <conditionalFormatting sqref="F5:H10 F11:G11">
    <cfRule type="expression" dxfId="2558" priority="2913">
      <formula>$C5&lt;$E$3</formula>
    </cfRule>
  </conditionalFormatting>
  <conditionalFormatting sqref="F5:H10 F11:G11">
    <cfRule type="expression" dxfId="2557" priority="2912">
      <formula>$E5=""</formula>
    </cfRule>
  </conditionalFormatting>
  <conditionalFormatting sqref="F5:H10 F11:G11">
    <cfRule type="expression" dxfId="2556" priority="2911">
      <formula>$E5=""</formula>
    </cfRule>
  </conditionalFormatting>
  <conditionalFormatting sqref="F5:H10 F11:G11">
    <cfRule type="expression" dxfId="2555" priority="2910">
      <formula>$C5&lt;$E$3</formula>
    </cfRule>
  </conditionalFormatting>
  <conditionalFormatting sqref="F5:H10 F11:G11">
    <cfRule type="expression" dxfId="2554" priority="2909">
      <formula>$E5=""</formula>
    </cfRule>
  </conditionalFormatting>
  <conditionalFormatting sqref="F5:H10 F11:G11">
    <cfRule type="expression" dxfId="2553" priority="2908">
      <formula>$C5&lt;$E$3</formula>
    </cfRule>
  </conditionalFormatting>
  <conditionalFormatting sqref="F5:H10 F11:G11">
    <cfRule type="expression" dxfId="2552" priority="2907">
      <formula>$E5=""</formula>
    </cfRule>
  </conditionalFormatting>
  <conditionalFormatting sqref="F5:H10 F11:G11">
    <cfRule type="expression" dxfId="2551" priority="2906">
      <formula>$C5&lt;$E$3</formula>
    </cfRule>
  </conditionalFormatting>
  <conditionalFormatting sqref="F5:H10 F11:G11">
    <cfRule type="expression" dxfId="2550" priority="2905">
      <formula>$E5=""</formula>
    </cfRule>
  </conditionalFormatting>
  <conditionalFormatting sqref="F14:G20">
    <cfRule type="expression" dxfId="2549" priority="2904">
      <formula>$C14&lt;$E$3</formula>
    </cfRule>
  </conditionalFormatting>
  <conditionalFormatting sqref="F14:G20">
    <cfRule type="expression" dxfId="2548" priority="2900">
      <formula>$C14=$E$3</formula>
    </cfRule>
    <cfRule type="expression" dxfId="2547" priority="2901">
      <formula>$C14&lt;$E$3</formula>
    </cfRule>
    <cfRule type="cellIs" dxfId="2546" priority="2902" operator="equal">
      <formula>0</formula>
    </cfRule>
    <cfRule type="expression" dxfId="2545" priority="2903">
      <formula>$C14&gt;$E$3</formula>
    </cfRule>
  </conditionalFormatting>
  <conditionalFormatting sqref="F14:G20">
    <cfRule type="expression" dxfId="2544" priority="2899">
      <formula>$E14=""</formula>
    </cfRule>
  </conditionalFormatting>
  <conditionalFormatting sqref="F14:G20">
    <cfRule type="expression" dxfId="2543" priority="2898">
      <formula>$C14&lt;$E$3</formula>
    </cfRule>
  </conditionalFormatting>
  <conditionalFormatting sqref="F14:G20">
    <cfRule type="expression" dxfId="2542" priority="2897">
      <formula>$E14=""</formula>
    </cfRule>
  </conditionalFormatting>
  <conditionalFormatting sqref="F14:G20">
    <cfRule type="expression" dxfId="2541" priority="2896">
      <formula>$E14=""</formula>
    </cfRule>
  </conditionalFormatting>
  <conditionalFormatting sqref="F14:G20">
    <cfRule type="expression" dxfId="2540" priority="2895">
      <formula>$C14&lt;$E$3</formula>
    </cfRule>
  </conditionalFormatting>
  <conditionalFormatting sqref="F14:G20">
    <cfRule type="expression" dxfId="2539" priority="2894">
      <formula>$E14=""</formula>
    </cfRule>
  </conditionalFormatting>
  <conditionalFormatting sqref="F14:G20">
    <cfRule type="expression" dxfId="2538" priority="2893">
      <formula>$C14&lt;$E$3</formula>
    </cfRule>
  </conditionalFormatting>
  <conditionalFormatting sqref="F14:G20">
    <cfRule type="expression" dxfId="2537" priority="2892">
      <formula>$E14=""</formula>
    </cfRule>
  </conditionalFormatting>
  <conditionalFormatting sqref="F14:G20">
    <cfRule type="expression" dxfId="2536" priority="2891">
      <formula>$C14&lt;$E$3</formula>
    </cfRule>
  </conditionalFormatting>
  <conditionalFormatting sqref="F14:G20">
    <cfRule type="expression" dxfId="2535" priority="2890">
      <formula>$E14=""</formula>
    </cfRule>
  </conditionalFormatting>
  <conditionalFormatting sqref="F23:G29">
    <cfRule type="expression" dxfId="2534" priority="2889">
      <formula>$C23&lt;$E$3</formula>
    </cfRule>
  </conditionalFormatting>
  <conditionalFormatting sqref="F23:G29">
    <cfRule type="expression" dxfId="2533" priority="2885">
      <formula>$C23=$E$3</formula>
    </cfRule>
    <cfRule type="expression" dxfId="2532" priority="2886">
      <formula>$C23&lt;$E$3</formula>
    </cfRule>
    <cfRule type="cellIs" dxfId="2531" priority="2887" operator="equal">
      <formula>0</formula>
    </cfRule>
    <cfRule type="expression" dxfId="2530" priority="2888">
      <formula>$C23&gt;$E$3</formula>
    </cfRule>
  </conditionalFormatting>
  <conditionalFormatting sqref="F23:G29">
    <cfRule type="expression" dxfId="2529" priority="2884">
      <formula>$C23&lt;$E$3</formula>
    </cfRule>
  </conditionalFormatting>
  <conditionalFormatting sqref="F23:G29">
    <cfRule type="expression" dxfId="2528" priority="2880">
      <formula>$C23=$E$3</formula>
    </cfRule>
    <cfRule type="expression" dxfId="2527" priority="2881">
      <formula>$C23&lt;$E$3</formula>
    </cfRule>
    <cfRule type="cellIs" dxfId="2526" priority="2882" operator="equal">
      <formula>0</formula>
    </cfRule>
    <cfRule type="expression" dxfId="2525" priority="2883">
      <formula>$C23&gt;$E$3</formula>
    </cfRule>
  </conditionalFormatting>
  <conditionalFormatting sqref="F23:G29">
    <cfRule type="expression" dxfId="2524" priority="2879">
      <formula>$E23=""</formula>
    </cfRule>
  </conditionalFormatting>
  <conditionalFormatting sqref="F23:G29">
    <cfRule type="expression" dxfId="2523" priority="2878">
      <formula>$C23&lt;$E$3</formula>
    </cfRule>
  </conditionalFormatting>
  <conditionalFormatting sqref="F23:G29">
    <cfRule type="expression" dxfId="2522" priority="2877">
      <formula>$E23=""</formula>
    </cfRule>
  </conditionalFormatting>
  <conditionalFormatting sqref="F23:G29">
    <cfRule type="expression" dxfId="2521" priority="2876">
      <formula>$E23=""</formula>
    </cfRule>
  </conditionalFormatting>
  <conditionalFormatting sqref="F23:G29">
    <cfRule type="expression" dxfId="2520" priority="2875">
      <formula>$C23&lt;$E$3</formula>
    </cfRule>
  </conditionalFormatting>
  <conditionalFormatting sqref="F23:G29">
    <cfRule type="expression" dxfId="2519" priority="2874">
      <formula>$E23=""</formula>
    </cfRule>
  </conditionalFormatting>
  <conditionalFormatting sqref="F23:G29">
    <cfRule type="expression" dxfId="2518" priority="2873">
      <formula>$C23&lt;$E$3</formula>
    </cfRule>
  </conditionalFormatting>
  <conditionalFormatting sqref="F23:G29">
    <cfRule type="expression" dxfId="2517" priority="2872">
      <formula>$E23=""</formula>
    </cfRule>
  </conditionalFormatting>
  <conditionalFormatting sqref="F23:G29">
    <cfRule type="expression" dxfId="2516" priority="2871">
      <formula>$C23&lt;$E$3</formula>
    </cfRule>
  </conditionalFormatting>
  <conditionalFormatting sqref="F23:G29">
    <cfRule type="expression" dxfId="2515" priority="2870">
      <formula>$E23=""</formula>
    </cfRule>
  </conditionalFormatting>
  <conditionalFormatting sqref="F38:H38 F32:G37">
    <cfRule type="expression" dxfId="2514" priority="2869">
      <formula>$C32&lt;$E$3</formula>
    </cfRule>
  </conditionalFormatting>
  <conditionalFormatting sqref="F38:H38 F32:G37">
    <cfRule type="expression" dxfId="2513" priority="2865">
      <formula>$C32=$E$3</formula>
    </cfRule>
    <cfRule type="expression" dxfId="2512" priority="2866">
      <formula>$C32&lt;$E$3</formula>
    </cfRule>
    <cfRule type="cellIs" dxfId="2511" priority="2867" operator="equal">
      <formula>0</formula>
    </cfRule>
    <cfRule type="expression" dxfId="2510" priority="2868">
      <formula>$C32&gt;$E$3</formula>
    </cfRule>
  </conditionalFormatting>
  <conditionalFormatting sqref="F38:H38 F32:G37">
    <cfRule type="expression" dxfId="2509" priority="2864">
      <formula>$C32&lt;$E$3</formula>
    </cfRule>
  </conditionalFormatting>
  <conditionalFormatting sqref="F38:H38 F32:G37">
    <cfRule type="expression" dxfId="2508" priority="2860">
      <formula>$C32=$E$3</formula>
    </cfRule>
    <cfRule type="expression" dxfId="2507" priority="2861">
      <formula>$C32&lt;$E$3</formula>
    </cfRule>
    <cfRule type="cellIs" dxfId="2506" priority="2862" operator="equal">
      <formula>0</formula>
    </cfRule>
    <cfRule type="expression" dxfId="2505" priority="2863">
      <formula>$C32&gt;$E$3</formula>
    </cfRule>
  </conditionalFormatting>
  <conditionalFormatting sqref="F38:H38 F32:G37">
    <cfRule type="expression" dxfId="2504" priority="2859">
      <formula>$E32=""</formula>
    </cfRule>
  </conditionalFormatting>
  <conditionalFormatting sqref="F38:H38 F32:G37">
    <cfRule type="expression" dxfId="2503" priority="2858">
      <formula>$C32&lt;$E$3</formula>
    </cfRule>
  </conditionalFormatting>
  <conditionalFormatting sqref="F38:H38 F32:G37">
    <cfRule type="expression" dxfId="2502" priority="2857">
      <formula>$E32=""</formula>
    </cfRule>
  </conditionalFormatting>
  <conditionalFormatting sqref="F38:H38 F32:G37">
    <cfRule type="expression" dxfId="2501" priority="2856">
      <formula>$E32=""</formula>
    </cfRule>
  </conditionalFormatting>
  <conditionalFormatting sqref="F38:H38 F32:G37">
    <cfRule type="expression" dxfId="2500" priority="2855">
      <formula>$C32&lt;$E$3</formula>
    </cfRule>
  </conditionalFormatting>
  <conditionalFormatting sqref="F38:H38 F32:G37">
    <cfRule type="expression" dxfId="2499" priority="2854">
      <formula>$E32=""</formula>
    </cfRule>
  </conditionalFormatting>
  <conditionalFormatting sqref="F38:H38 F32:G37">
    <cfRule type="expression" dxfId="2498" priority="2853">
      <formula>$C32&lt;$E$3</formula>
    </cfRule>
  </conditionalFormatting>
  <conditionalFormatting sqref="F38:H38 F32:G37">
    <cfRule type="expression" dxfId="2497" priority="2852">
      <formula>$E32=""</formula>
    </cfRule>
  </conditionalFormatting>
  <conditionalFormatting sqref="F38:H38 F32:G37">
    <cfRule type="expression" dxfId="2496" priority="2851">
      <formula>$C32&lt;$E$3</formula>
    </cfRule>
  </conditionalFormatting>
  <conditionalFormatting sqref="F38:H38 F32:G37">
    <cfRule type="expression" dxfId="2495" priority="2850">
      <formula>$E32=""</formula>
    </cfRule>
  </conditionalFormatting>
  <conditionalFormatting sqref="F41:H47">
    <cfRule type="expression" dxfId="2494" priority="2849">
      <formula>$C41&lt;$E$3</formula>
    </cfRule>
  </conditionalFormatting>
  <conditionalFormatting sqref="F41:H47">
    <cfRule type="expression" dxfId="2493" priority="2845">
      <formula>$C41=$E$3</formula>
    </cfRule>
    <cfRule type="expression" dxfId="2492" priority="2846">
      <formula>$C41&lt;$E$3</formula>
    </cfRule>
    <cfRule type="cellIs" dxfId="2491" priority="2847" operator="equal">
      <formula>0</formula>
    </cfRule>
    <cfRule type="expression" dxfId="2490" priority="2848">
      <formula>$C41&gt;$E$3</formula>
    </cfRule>
  </conditionalFormatting>
  <conditionalFormatting sqref="F41:H47">
    <cfRule type="expression" dxfId="2489" priority="2844">
      <formula>$C41&lt;$E$3</formula>
    </cfRule>
  </conditionalFormatting>
  <conditionalFormatting sqref="F41:H47">
    <cfRule type="expression" dxfId="2488" priority="2840">
      <formula>$C41=$E$3</formula>
    </cfRule>
    <cfRule type="expression" dxfId="2487" priority="2841">
      <formula>$C41&lt;$E$3</formula>
    </cfRule>
    <cfRule type="cellIs" dxfId="2486" priority="2842" operator="equal">
      <formula>0</formula>
    </cfRule>
    <cfRule type="expression" dxfId="2485" priority="2843">
      <formula>$C41&gt;$E$3</formula>
    </cfRule>
  </conditionalFormatting>
  <conditionalFormatting sqref="F41:H47">
    <cfRule type="expression" dxfId="2484" priority="2839">
      <formula>$E41=""</formula>
    </cfRule>
  </conditionalFormatting>
  <conditionalFormatting sqref="F41:H47">
    <cfRule type="expression" dxfId="2483" priority="2838">
      <formula>$C41&lt;$E$3</formula>
    </cfRule>
  </conditionalFormatting>
  <conditionalFormatting sqref="F41:H47">
    <cfRule type="expression" dxfId="2482" priority="2837">
      <formula>$E41=""</formula>
    </cfRule>
  </conditionalFormatting>
  <conditionalFormatting sqref="F41:H47">
    <cfRule type="expression" dxfId="2481" priority="2836">
      <formula>$E41=""</formula>
    </cfRule>
  </conditionalFormatting>
  <conditionalFormatting sqref="F41:H47">
    <cfRule type="expression" dxfId="2480" priority="2835">
      <formula>$C41&lt;$E$3</formula>
    </cfRule>
  </conditionalFormatting>
  <conditionalFormatting sqref="F41:H47">
    <cfRule type="expression" dxfId="2479" priority="2834">
      <formula>$E41=""</formula>
    </cfRule>
  </conditionalFormatting>
  <conditionalFormatting sqref="F41:H47">
    <cfRule type="expression" dxfId="2478" priority="2833">
      <formula>$C41&lt;$E$3</formula>
    </cfRule>
  </conditionalFormatting>
  <conditionalFormatting sqref="F41:H47">
    <cfRule type="expression" dxfId="2477" priority="2832">
      <formula>$E41=""</formula>
    </cfRule>
  </conditionalFormatting>
  <conditionalFormatting sqref="F41:H47">
    <cfRule type="expression" dxfId="2476" priority="2831">
      <formula>$C41&lt;$E$3</formula>
    </cfRule>
  </conditionalFormatting>
  <conditionalFormatting sqref="F41:H47">
    <cfRule type="expression" dxfId="2475" priority="2830">
      <formula>$E41=""</formula>
    </cfRule>
  </conditionalFormatting>
  <conditionalFormatting sqref="F50:H51">
    <cfRule type="cellIs" dxfId="2474" priority="2829" stopIfTrue="1" operator="lessThan">
      <formula>0</formula>
    </cfRule>
  </conditionalFormatting>
  <conditionalFormatting sqref="F50:H51">
    <cfRule type="expression" dxfId="2473" priority="2828">
      <formula>$C50&lt;$E$3</formula>
    </cfRule>
  </conditionalFormatting>
  <conditionalFormatting sqref="F50:H51">
    <cfRule type="expression" dxfId="2472" priority="2824">
      <formula>$C50=$E$3</formula>
    </cfRule>
    <cfRule type="expression" dxfId="2471" priority="2825">
      <formula>$C50&lt;$E$3</formula>
    </cfRule>
    <cfRule type="cellIs" dxfId="2470" priority="2826" operator="equal">
      <formula>0</formula>
    </cfRule>
    <cfRule type="expression" dxfId="2469" priority="2827">
      <formula>$C50&gt;$E$3</formula>
    </cfRule>
  </conditionalFormatting>
  <conditionalFormatting sqref="F50:H51">
    <cfRule type="expression" dxfId="2468" priority="2823">
      <formula>$C50&lt;$E$3</formula>
    </cfRule>
  </conditionalFormatting>
  <conditionalFormatting sqref="F50:H51">
    <cfRule type="expression" dxfId="2467" priority="2819">
      <formula>$C50=$E$3</formula>
    </cfRule>
    <cfRule type="expression" dxfId="2466" priority="2820">
      <formula>$C50&lt;$E$3</formula>
    </cfRule>
    <cfRule type="cellIs" dxfId="2465" priority="2821" operator="equal">
      <formula>0</formula>
    </cfRule>
    <cfRule type="expression" dxfId="2464" priority="2822">
      <formula>$C50&gt;$E$3</formula>
    </cfRule>
  </conditionalFormatting>
  <conditionalFormatting sqref="F50:H51">
    <cfRule type="expression" dxfId="2463" priority="2818">
      <formula>$C50&lt;$E$3</formula>
    </cfRule>
  </conditionalFormatting>
  <conditionalFormatting sqref="F50:H51">
    <cfRule type="expression" dxfId="2462" priority="2814">
      <formula>$C50=$E$3</formula>
    </cfRule>
    <cfRule type="expression" dxfId="2461" priority="2815">
      <formula>$C50&lt;$E$3</formula>
    </cfRule>
    <cfRule type="cellIs" dxfId="2460" priority="2816" operator="equal">
      <formula>0</formula>
    </cfRule>
    <cfRule type="expression" dxfId="2459" priority="2817">
      <formula>$C50&gt;$E$3</formula>
    </cfRule>
  </conditionalFormatting>
  <conditionalFormatting sqref="F50:H51">
    <cfRule type="expression" dxfId="2458" priority="2813">
      <formula>$C50&lt;$E$3</formula>
    </cfRule>
  </conditionalFormatting>
  <conditionalFormatting sqref="F50:H51">
    <cfRule type="expression" dxfId="2457" priority="2809">
      <formula>$C50=$E$3</formula>
    </cfRule>
    <cfRule type="expression" dxfId="2456" priority="2810">
      <formula>$C50&lt;$E$3</formula>
    </cfRule>
    <cfRule type="cellIs" dxfId="2455" priority="2811" operator="equal">
      <formula>0</formula>
    </cfRule>
    <cfRule type="expression" dxfId="2454" priority="2812">
      <formula>$C50&gt;$E$3</formula>
    </cfRule>
  </conditionalFormatting>
  <conditionalFormatting sqref="F50:H51">
    <cfRule type="expression" dxfId="2453" priority="2808">
      <formula>$E50=""</formula>
    </cfRule>
  </conditionalFormatting>
  <conditionalFormatting sqref="F50:H51">
    <cfRule type="expression" dxfId="2452" priority="2807">
      <formula>$C50&lt;$E$3</formula>
    </cfRule>
  </conditionalFormatting>
  <conditionalFormatting sqref="F50:H51">
    <cfRule type="expression" dxfId="2451" priority="2806">
      <formula>$E50=""</formula>
    </cfRule>
  </conditionalFormatting>
  <conditionalFormatting sqref="F50:H51">
    <cfRule type="expression" dxfId="2450" priority="2805">
      <formula>$E50=""</formula>
    </cfRule>
  </conditionalFormatting>
  <conditionalFormatting sqref="F50:H51">
    <cfRule type="expression" dxfId="2449" priority="2804">
      <formula>$C50&lt;$E$3</formula>
    </cfRule>
  </conditionalFormatting>
  <conditionalFormatting sqref="F50:H51">
    <cfRule type="expression" dxfId="2448" priority="2803">
      <formula>$E50=""</formula>
    </cfRule>
  </conditionalFormatting>
  <conditionalFormatting sqref="F50:H51">
    <cfRule type="expression" dxfId="2447" priority="2802">
      <formula>$C50&lt;$E$3</formula>
    </cfRule>
  </conditionalFormatting>
  <conditionalFormatting sqref="F50:H51">
    <cfRule type="expression" dxfId="2446" priority="2801">
      <formula>$E50=""</formula>
    </cfRule>
  </conditionalFormatting>
  <conditionalFormatting sqref="F50:H51">
    <cfRule type="expression" dxfId="2445" priority="2800">
      <formula>$C50&lt;$E$3</formula>
    </cfRule>
  </conditionalFormatting>
  <conditionalFormatting sqref="F50:H51">
    <cfRule type="expression" dxfId="2444" priority="2799">
      <formula>$E50=""</formula>
    </cfRule>
  </conditionalFormatting>
  <conditionalFormatting sqref="E14:E20 E5:E11 E41:E47 E32:E38 E23:E29 E50:E51">
    <cfRule type="containsText" dxfId="2443" priority="2792" operator="containsText" text="Sa">
      <formula>NOT(ISERROR(SEARCH("Sa",E5)))</formula>
    </cfRule>
    <cfRule type="containsText" dxfId="2442" priority="2794" operator="containsText" text="Fr">
      <formula>NOT(ISERROR(SEARCH("Fr",E5)))</formula>
    </cfRule>
    <cfRule type="containsText" dxfId="2441" priority="2795" operator="containsText" text="Th">
      <formula>NOT(ISERROR(SEARCH("Th",E5)))</formula>
    </cfRule>
  </conditionalFormatting>
  <conditionalFormatting sqref="E14:E20 E5:E11 E41:E47 E32:E38 E23:E29 E50:E51">
    <cfRule type="containsText" dxfId="2440" priority="2796" operator="containsText" text="Wed">
      <formula>NOT(ISERROR(SEARCH("Wed",E5)))</formula>
    </cfRule>
    <cfRule type="containsText" dxfId="2439" priority="2797" operator="containsText" text="Tu">
      <formula>NOT(ISERROR(SEARCH("Tu",E5)))</formula>
    </cfRule>
    <cfRule type="beginsWith" dxfId="2438" priority="2798" operator="beginsWith" text="M">
      <formula>LEFT(E5,1)="M"</formula>
    </cfRule>
  </conditionalFormatting>
  <conditionalFormatting sqref="E14:E20 E5:E11 E41:E47 E32:E38 E23:E29 E50:E51">
    <cfRule type="containsText" dxfId="2437" priority="2793" operator="containsText" text="Su">
      <formula>NOT(ISERROR(SEARCH("Su",E5)))</formula>
    </cfRule>
  </conditionalFormatting>
  <conditionalFormatting sqref="C4">
    <cfRule type="cellIs" dxfId="2436" priority="2788" stopIfTrue="1" operator="notBetween">
      <formula>$B$2</formula>
      <formula>$B$3</formula>
    </cfRule>
  </conditionalFormatting>
  <conditionalFormatting sqref="C4">
    <cfRule type="cellIs" dxfId="2435" priority="2789" operator="greaterThan">
      <formula>$E$3</formula>
    </cfRule>
    <cfRule type="cellIs" dxfId="2434" priority="2790" operator="equal">
      <formula>$E$3</formula>
    </cfRule>
    <cfRule type="cellIs" dxfId="2433" priority="2791" operator="lessThan">
      <formula>$E$3</formula>
    </cfRule>
  </conditionalFormatting>
  <conditionalFormatting sqref="H23:H29 H32 H11">
    <cfRule type="cellIs" dxfId="2432" priority="2598" stopIfTrue="1" operator="lessThan">
      <formula>0</formula>
    </cfRule>
  </conditionalFormatting>
  <conditionalFormatting sqref="H12">
    <cfRule type="expression" dxfId="2431" priority="2597">
      <formula>$F12&gt;=$F13</formula>
    </cfRule>
  </conditionalFormatting>
  <conditionalFormatting sqref="H21">
    <cfRule type="expression" dxfId="2430" priority="2596">
      <formula>$F21&gt;=$F22</formula>
    </cfRule>
  </conditionalFormatting>
  <conditionalFormatting sqref="H30">
    <cfRule type="expression" dxfId="2429" priority="2595">
      <formula>$F30&gt;=$F31</formula>
    </cfRule>
  </conditionalFormatting>
  <conditionalFormatting sqref="H12">
    <cfRule type="expression" dxfId="2428" priority="2594">
      <formula>$F12&gt;=$F13</formula>
    </cfRule>
  </conditionalFormatting>
  <conditionalFormatting sqref="H21">
    <cfRule type="expression" dxfId="2427" priority="2593">
      <formula>$F21&gt;=$F22</formula>
    </cfRule>
  </conditionalFormatting>
  <conditionalFormatting sqref="H30">
    <cfRule type="expression" dxfId="2426" priority="2592">
      <formula>$F30&gt;=$F31</formula>
    </cfRule>
  </conditionalFormatting>
  <conditionalFormatting sqref="H11">
    <cfRule type="expression" dxfId="2425" priority="2590">
      <formula>$C11&lt;$E$3</formula>
    </cfRule>
  </conditionalFormatting>
  <conditionalFormatting sqref="H11">
    <cfRule type="expression" dxfId="2424" priority="2587">
      <formula>$C11=$E$3</formula>
    </cfRule>
    <cfRule type="expression" dxfId="2423" priority="2588">
      <formula>$C11&lt;$E$3</formula>
    </cfRule>
    <cfRule type="cellIs" dxfId="2422" priority="2589" operator="equal">
      <formula>0</formula>
    </cfRule>
    <cfRule type="expression" dxfId="2421" priority="2591">
      <formula>$C11&gt;$E$3</formula>
    </cfRule>
  </conditionalFormatting>
  <conditionalFormatting sqref="H11">
    <cfRule type="expression" dxfId="2420" priority="2586">
      <formula>$C11&lt;$E$3</formula>
    </cfRule>
  </conditionalFormatting>
  <conditionalFormatting sqref="H11">
    <cfRule type="expression" dxfId="2419" priority="2582">
      <formula>$C11=$E$3</formula>
    </cfRule>
    <cfRule type="expression" dxfId="2418" priority="2583">
      <formula>$C11&lt;$E$3</formula>
    </cfRule>
    <cfRule type="cellIs" dxfId="2417" priority="2584" operator="equal">
      <formula>0</formula>
    </cfRule>
    <cfRule type="expression" dxfId="2416" priority="2585">
      <formula>$C11&gt;$E$3</formula>
    </cfRule>
  </conditionalFormatting>
  <conditionalFormatting sqref="H11">
    <cfRule type="expression" dxfId="2415" priority="2581">
      <formula>$C11&lt;$E$3</formula>
    </cfRule>
  </conditionalFormatting>
  <conditionalFormatting sqref="H11">
    <cfRule type="expression" dxfId="2414" priority="2577">
      <formula>$C11=$E$3</formula>
    </cfRule>
    <cfRule type="expression" dxfId="2413" priority="2578">
      <formula>$C11&lt;$E$3</formula>
    </cfRule>
    <cfRule type="cellIs" dxfId="2412" priority="2579" operator="equal">
      <formula>0</formula>
    </cfRule>
    <cfRule type="expression" dxfId="2411" priority="2580">
      <formula>$C11&gt;$E$3</formula>
    </cfRule>
  </conditionalFormatting>
  <conditionalFormatting sqref="H11">
    <cfRule type="expression" dxfId="2410" priority="2576">
      <formula>$C11&lt;$E$3</formula>
    </cfRule>
  </conditionalFormatting>
  <conditionalFormatting sqref="H11">
    <cfRule type="expression" dxfId="2409" priority="2572">
      <formula>$C11=$E$3</formula>
    </cfRule>
    <cfRule type="expression" dxfId="2408" priority="2573">
      <formula>$C11&lt;$E$3</formula>
    </cfRule>
    <cfRule type="cellIs" dxfId="2407" priority="2574" operator="equal">
      <formula>0</formula>
    </cfRule>
    <cfRule type="expression" dxfId="2406" priority="2575">
      <formula>$C11&gt;$E$3</formula>
    </cfRule>
  </conditionalFormatting>
  <conditionalFormatting sqref="H11">
    <cfRule type="expression" dxfId="2405" priority="2571">
      <formula>$E11=""</formula>
    </cfRule>
  </conditionalFormatting>
  <conditionalFormatting sqref="H11">
    <cfRule type="expression" dxfId="2404" priority="2570">
      <formula>$C11&lt;$E$3</formula>
    </cfRule>
  </conditionalFormatting>
  <conditionalFormatting sqref="H11">
    <cfRule type="expression" dxfId="2403" priority="2569">
      <formula>$E11=""</formula>
    </cfRule>
  </conditionalFormatting>
  <conditionalFormatting sqref="H11">
    <cfRule type="expression" dxfId="2402" priority="2568">
      <formula>$E11=""</formula>
    </cfRule>
  </conditionalFormatting>
  <conditionalFormatting sqref="H11">
    <cfRule type="expression" dxfId="2401" priority="2567">
      <formula>$C11&lt;$E$3</formula>
    </cfRule>
  </conditionalFormatting>
  <conditionalFormatting sqref="H11">
    <cfRule type="expression" dxfId="2400" priority="2566">
      <formula>$E11=""</formula>
    </cfRule>
  </conditionalFormatting>
  <conditionalFormatting sqref="H11">
    <cfRule type="expression" dxfId="2399" priority="2565">
      <formula>$C11&lt;$E$3</formula>
    </cfRule>
  </conditionalFormatting>
  <conditionalFormatting sqref="H11">
    <cfRule type="expression" dxfId="2398" priority="2564">
      <formula>$E11=""</formula>
    </cfRule>
  </conditionalFormatting>
  <conditionalFormatting sqref="H11">
    <cfRule type="expression" dxfId="2397" priority="2563">
      <formula>$C11&lt;$E$3</formula>
    </cfRule>
  </conditionalFormatting>
  <conditionalFormatting sqref="H11">
    <cfRule type="expression" dxfId="2396" priority="2562">
      <formula>$E11=""</formula>
    </cfRule>
  </conditionalFormatting>
  <conditionalFormatting sqref="H23:H29">
    <cfRule type="expression" dxfId="2395" priority="2505">
      <formula>$C23&lt;$E$3</formula>
    </cfRule>
  </conditionalFormatting>
  <conditionalFormatting sqref="H23:H29">
    <cfRule type="expression" dxfId="2394" priority="2504">
      <formula>$E23=""</formula>
    </cfRule>
  </conditionalFormatting>
  <conditionalFormatting sqref="H23:H29">
    <cfRule type="expression" dxfId="2393" priority="2503">
      <formula>$C23&lt;$E$3</formula>
    </cfRule>
  </conditionalFormatting>
  <conditionalFormatting sqref="H23:H29">
    <cfRule type="expression" dxfId="2392" priority="2530">
      <formula>$C23&lt;$E$3</formula>
    </cfRule>
  </conditionalFormatting>
  <conditionalFormatting sqref="H23:H29">
    <cfRule type="expression" dxfId="2391" priority="2527">
      <formula>$C23=$E$3</formula>
    </cfRule>
    <cfRule type="expression" dxfId="2390" priority="2528">
      <formula>$C23&lt;$E$3</formula>
    </cfRule>
    <cfRule type="cellIs" dxfId="2389" priority="2529" operator="equal">
      <formula>0</formula>
    </cfRule>
    <cfRule type="expression" dxfId="2388" priority="2531">
      <formula>$C23&gt;$E$3</formula>
    </cfRule>
  </conditionalFormatting>
  <conditionalFormatting sqref="H23:H29">
    <cfRule type="expression" dxfId="2387" priority="2526">
      <formula>$C23&lt;$E$3</formula>
    </cfRule>
  </conditionalFormatting>
  <conditionalFormatting sqref="H23:H29">
    <cfRule type="expression" dxfId="2386" priority="2522">
      <formula>$C23=$E$3</formula>
    </cfRule>
    <cfRule type="expression" dxfId="2385" priority="2523">
      <formula>$C23&lt;$E$3</formula>
    </cfRule>
    <cfRule type="cellIs" dxfId="2384" priority="2524" operator="equal">
      <formula>0</formula>
    </cfRule>
    <cfRule type="expression" dxfId="2383" priority="2525">
      <formula>$C23&gt;$E$3</formula>
    </cfRule>
  </conditionalFormatting>
  <conditionalFormatting sqref="H23:H29">
    <cfRule type="expression" dxfId="2382" priority="2521">
      <formula>$C23&lt;$E$3</formula>
    </cfRule>
  </conditionalFormatting>
  <conditionalFormatting sqref="H23:H29">
    <cfRule type="expression" dxfId="2381" priority="2517">
      <formula>$C23=$E$3</formula>
    </cfRule>
    <cfRule type="expression" dxfId="2380" priority="2518">
      <formula>$C23&lt;$E$3</formula>
    </cfRule>
    <cfRule type="cellIs" dxfId="2379" priority="2519" operator="equal">
      <formula>0</formula>
    </cfRule>
    <cfRule type="expression" dxfId="2378" priority="2520">
      <formula>$C23&gt;$E$3</formula>
    </cfRule>
  </conditionalFormatting>
  <conditionalFormatting sqref="H23:H29">
    <cfRule type="expression" dxfId="2377" priority="2516">
      <formula>$C23&lt;$E$3</formula>
    </cfRule>
  </conditionalFormatting>
  <conditionalFormatting sqref="H23:H29">
    <cfRule type="expression" dxfId="2376" priority="2512">
      <formula>$C23=$E$3</formula>
    </cfRule>
    <cfRule type="expression" dxfId="2375" priority="2513">
      <formula>$C23&lt;$E$3</formula>
    </cfRule>
    <cfRule type="cellIs" dxfId="2374" priority="2514" operator="equal">
      <formula>0</formula>
    </cfRule>
    <cfRule type="expression" dxfId="2373" priority="2515">
      <formula>$C23&gt;$E$3</formula>
    </cfRule>
  </conditionalFormatting>
  <conditionalFormatting sqref="H23:H29">
    <cfRule type="expression" dxfId="2372" priority="2511">
      <formula>$E23=""</formula>
    </cfRule>
  </conditionalFormatting>
  <conditionalFormatting sqref="H23:H29">
    <cfRule type="expression" dxfId="2371" priority="2510">
      <formula>$C23&lt;$E$3</formula>
    </cfRule>
  </conditionalFormatting>
  <conditionalFormatting sqref="H23:H29">
    <cfRule type="expression" dxfId="2370" priority="2509">
      <formula>$E23=""</formula>
    </cfRule>
  </conditionalFormatting>
  <conditionalFormatting sqref="H23:H29">
    <cfRule type="expression" dxfId="2369" priority="2508">
      <formula>$E23=""</formula>
    </cfRule>
  </conditionalFormatting>
  <conditionalFormatting sqref="H23:H29">
    <cfRule type="expression" dxfId="2368" priority="2507">
      <formula>$C23&lt;$E$3</formula>
    </cfRule>
  </conditionalFormatting>
  <conditionalFormatting sqref="H23:H29">
    <cfRule type="expression" dxfId="2367" priority="2506">
      <formula>$E23=""</formula>
    </cfRule>
  </conditionalFormatting>
  <conditionalFormatting sqref="H23:H29">
    <cfRule type="expression" dxfId="2366" priority="2502">
      <formula>$E23=""</formula>
    </cfRule>
  </conditionalFormatting>
  <conditionalFormatting sqref="H32">
    <cfRule type="expression" dxfId="2365" priority="2500">
      <formula>$C32&lt;$E$3</formula>
    </cfRule>
  </conditionalFormatting>
  <conditionalFormatting sqref="H32">
    <cfRule type="expression" dxfId="2364" priority="2497">
      <formula>$C32=$E$3</formula>
    </cfRule>
    <cfRule type="expression" dxfId="2363" priority="2498">
      <formula>$C32&lt;$E$3</formula>
    </cfRule>
    <cfRule type="cellIs" dxfId="2362" priority="2499" operator="equal">
      <formula>0</formula>
    </cfRule>
    <cfRule type="expression" dxfId="2361" priority="2501">
      <formula>$C32&gt;$E$3</formula>
    </cfRule>
  </conditionalFormatting>
  <conditionalFormatting sqref="H32">
    <cfRule type="expression" dxfId="2360" priority="2496">
      <formula>$C32&lt;$E$3</formula>
    </cfRule>
  </conditionalFormatting>
  <conditionalFormatting sqref="H32">
    <cfRule type="expression" dxfId="2359" priority="2492">
      <formula>$C32=$E$3</formula>
    </cfRule>
    <cfRule type="expression" dxfId="2358" priority="2493">
      <formula>$C32&lt;$E$3</formula>
    </cfRule>
    <cfRule type="cellIs" dxfId="2357" priority="2494" operator="equal">
      <formula>0</formula>
    </cfRule>
    <cfRule type="expression" dxfId="2356" priority="2495">
      <formula>$C32&gt;$E$3</formula>
    </cfRule>
  </conditionalFormatting>
  <conditionalFormatting sqref="H32">
    <cfRule type="expression" dxfId="2355" priority="2491">
      <formula>$C32&lt;$E$3</formula>
    </cfRule>
  </conditionalFormatting>
  <conditionalFormatting sqref="H32">
    <cfRule type="expression" dxfId="2354" priority="2487">
      <formula>$C32=$E$3</formula>
    </cfRule>
    <cfRule type="expression" dxfId="2353" priority="2488">
      <formula>$C32&lt;$E$3</formula>
    </cfRule>
    <cfRule type="cellIs" dxfId="2352" priority="2489" operator="equal">
      <formula>0</formula>
    </cfRule>
    <cfRule type="expression" dxfId="2351" priority="2490">
      <formula>$C32&gt;$E$3</formula>
    </cfRule>
  </conditionalFormatting>
  <conditionalFormatting sqref="H32">
    <cfRule type="expression" dxfId="2350" priority="2486">
      <formula>$C32&lt;$E$3</formula>
    </cfRule>
  </conditionalFormatting>
  <conditionalFormatting sqref="H32">
    <cfRule type="expression" dxfId="2349" priority="2482">
      <formula>$C32=$E$3</formula>
    </cfRule>
    <cfRule type="expression" dxfId="2348" priority="2483">
      <formula>$C32&lt;$E$3</formula>
    </cfRule>
    <cfRule type="cellIs" dxfId="2347" priority="2484" operator="equal">
      <formula>0</formula>
    </cfRule>
    <cfRule type="expression" dxfId="2346" priority="2485">
      <formula>$C32&gt;$E$3</formula>
    </cfRule>
  </conditionalFormatting>
  <conditionalFormatting sqref="H32">
    <cfRule type="expression" dxfId="2345" priority="2481">
      <formula>$E32=""</formula>
    </cfRule>
  </conditionalFormatting>
  <conditionalFormatting sqref="H32">
    <cfRule type="expression" dxfId="2344" priority="2480">
      <formula>$C32&lt;$E$3</formula>
    </cfRule>
  </conditionalFormatting>
  <conditionalFormatting sqref="H32">
    <cfRule type="expression" dxfId="2343" priority="2479">
      <formula>$E32=""</formula>
    </cfRule>
  </conditionalFormatting>
  <conditionalFormatting sqref="H32">
    <cfRule type="expression" dxfId="2342" priority="2478">
      <formula>$E32=""</formula>
    </cfRule>
  </conditionalFormatting>
  <conditionalFormatting sqref="H32">
    <cfRule type="expression" dxfId="2341" priority="2477">
      <formula>$C32&lt;$E$3</formula>
    </cfRule>
  </conditionalFormatting>
  <conditionalFormatting sqref="H32">
    <cfRule type="expression" dxfId="2340" priority="2476">
      <formula>$E32=""</formula>
    </cfRule>
  </conditionalFormatting>
  <conditionalFormatting sqref="H32">
    <cfRule type="expression" dxfId="2339" priority="2475">
      <formula>$C32&lt;$E$3</formula>
    </cfRule>
  </conditionalFormatting>
  <conditionalFormatting sqref="H32">
    <cfRule type="expression" dxfId="2338" priority="2474">
      <formula>$E32=""</formula>
    </cfRule>
  </conditionalFormatting>
  <conditionalFormatting sqref="H32">
    <cfRule type="expression" dxfId="2337" priority="2473">
      <formula>$C32&lt;$E$3</formula>
    </cfRule>
  </conditionalFormatting>
  <conditionalFormatting sqref="H32">
    <cfRule type="expression" dxfId="2336" priority="2472">
      <formula>$E32=""</formula>
    </cfRule>
  </conditionalFormatting>
  <conditionalFormatting sqref="F52:H52">
    <cfRule type="expression" dxfId="2335" priority="2969" stopIfTrue="1">
      <formula>$H$52=-1E-55</formula>
    </cfRule>
    <cfRule type="expression" dxfId="2334" priority="2970">
      <formula>$F52&gt;=$F53</formula>
    </cfRule>
  </conditionalFormatting>
  <conditionalFormatting sqref="H33:H37">
    <cfRule type="cellIs" dxfId="2333" priority="2385" stopIfTrue="1" operator="lessThan">
      <formula>0</formula>
    </cfRule>
  </conditionalFormatting>
  <conditionalFormatting sqref="H33:H37">
    <cfRule type="expression" dxfId="2332" priority="2389">
      <formula>$C33&lt;$E$3</formula>
    </cfRule>
  </conditionalFormatting>
  <conditionalFormatting sqref="H33:H37">
    <cfRule type="expression" dxfId="2331" priority="2386">
      <formula>$C33=$E$3</formula>
    </cfRule>
    <cfRule type="expression" dxfId="2330" priority="2387">
      <formula>$C33&lt;$E$3</formula>
    </cfRule>
    <cfRule type="cellIs" dxfId="2329" priority="2388" operator="equal">
      <formula>0</formula>
    </cfRule>
    <cfRule type="expression" dxfId="2328" priority="2390">
      <formula>$C33&gt;$E$3</formula>
    </cfRule>
  </conditionalFormatting>
  <conditionalFormatting sqref="H33:H37">
    <cfRule type="expression" dxfId="2327" priority="2384">
      <formula>$C33&lt;$E$3</formula>
    </cfRule>
  </conditionalFormatting>
  <conditionalFormatting sqref="H33:H37">
    <cfRule type="expression" dxfId="2326" priority="2380">
      <formula>$C33=$E$3</formula>
    </cfRule>
    <cfRule type="expression" dxfId="2325" priority="2381">
      <formula>$C33&lt;$E$3</formula>
    </cfRule>
    <cfRule type="cellIs" dxfId="2324" priority="2382" operator="equal">
      <formula>0</formula>
    </cfRule>
    <cfRule type="expression" dxfId="2323" priority="2383">
      <formula>$C33&gt;$E$3</formula>
    </cfRule>
  </conditionalFormatting>
  <conditionalFormatting sqref="H33:H37">
    <cfRule type="expression" dxfId="2322" priority="2379">
      <formula>$E33=""</formula>
    </cfRule>
  </conditionalFormatting>
  <conditionalFormatting sqref="H36">
    <cfRule type="expression" dxfId="2321" priority="2378">
      <formula>$E36=""</formula>
    </cfRule>
  </conditionalFormatting>
  <conditionalFormatting sqref="H33:H37">
    <cfRule type="expression" dxfId="2320" priority="2377">
      <formula>$C33&lt;$E$3</formula>
    </cfRule>
  </conditionalFormatting>
  <conditionalFormatting sqref="H33:H37">
    <cfRule type="expression" dxfId="2319" priority="2373">
      <formula>$C33=$E$3</formula>
    </cfRule>
    <cfRule type="expression" dxfId="2318" priority="2374">
      <formula>$C33&lt;$E$3</formula>
    </cfRule>
    <cfRule type="cellIs" dxfId="2317" priority="2375" operator="equal">
      <formula>0</formula>
    </cfRule>
    <cfRule type="expression" dxfId="2316" priority="2376">
      <formula>$C33&gt;$E$3</formula>
    </cfRule>
  </conditionalFormatting>
  <conditionalFormatting sqref="H33:H37">
    <cfRule type="expression" dxfId="2315" priority="2372">
      <formula>$C33&lt;$E$3</formula>
    </cfRule>
  </conditionalFormatting>
  <conditionalFormatting sqref="H33:H37">
    <cfRule type="expression" dxfId="2314" priority="2368">
      <formula>$C33=$E$3</formula>
    </cfRule>
    <cfRule type="expression" dxfId="2313" priority="2369">
      <formula>$C33&lt;$E$3</formula>
    </cfRule>
    <cfRule type="cellIs" dxfId="2312" priority="2370" operator="equal">
      <formula>0</formula>
    </cfRule>
    <cfRule type="expression" dxfId="2311" priority="2371">
      <formula>$C33&gt;$E$3</formula>
    </cfRule>
  </conditionalFormatting>
  <conditionalFormatting sqref="H33:H37">
    <cfRule type="expression" dxfId="2310" priority="2367">
      <formula>$E33=""</formula>
    </cfRule>
  </conditionalFormatting>
  <conditionalFormatting sqref="H33:H37">
    <cfRule type="expression" dxfId="2309" priority="2366">
      <formula>$C33&lt;$E$3</formula>
    </cfRule>
  </conditionalFormatting>
  <conditionalFormatting sqref="H33:H37">
    <cfRule type="expression" dxfId="2308" priority="2365">
      <formula>$E33=""</formula>
    </cfRule>
  </conditionalFormatting>
  <conditionalFormatting sqref="H33:H37">
    <cfRule type="expression" dxfId="2307" priority="2364">
      <formula>$E33=""</formula>
    </cfRule>
  </conditionalFormatting>
  <conditionalFormatting sqref="H33:H37">
    <cfRule type="expression" dxfId="2306" priority="2363">
      <formula>$C33&lt;$E$3</formula>
    </cfRule>
  </conditionalFormatting>
  <conditionalFormatting sqref="H33:H37">
    <cfRule type="expression" dxfId="2305" priority="2362">
      <formula>$E33=""</formula>
    </cfRule>
  </conditionalFormatting>
  <conditionalFormatting sqref="H33:H37">
    <cfRule type="expression" dxfId="2304" priority="2361">
      <formula>$C33&lt;$E$3</formula>
    </cfRule>
  </conditionalFormatting>
  <conditionalFormatting sqref="H33:H37">
    <cfRule type="expression" dxfId="2303" priority="2360">
      <formula>$E33=""</formula>
    </cfRule>
  </conditionalFormatting>
  <conditionalFormatting sqref="H33:H37">
    <cfRule type="expression" dxfId="2302" priority="2359">
      <formula>$C33&lt;$E$3</formula>
    </cfRule>
  </conditionalFormatting>
  <conditionalFormatting sqref="H33:H37">
    <cfRule type="expression" dxfId="2301" priority="2358">
      <formula>$E33=""</formula>
    </cfRule>
  </conditionalFormatting>
  <conditionalFormatting sqref="K5:K9">
    <cfRule type="expression" dxfId="2300" priority="730">
      <formula>$C5&lt;$E$3</formula>
    </cfRule>
  </conditionalFormatting>
  <conditionalFormatting sqref="K5:K11">
    <cfRule type="expression" dxfId="2299" priority="718">
      <formula>$E5=""</formula>
    </cfRule>
  </conditionalFormatting>
  <conditionalFormatting sqref="K50:K51">
    <cfRule type="expression" dxfId="2298" priority="695">
      <formula>$C50&lt;$E$3</formula>
    </cfRule>
  </conditionalFormatting>
  <conditionalFormatting sqref="K50:K51">
    <cfRule type="expression" dxfId="2297" priority="691">
      <formula>$C50=$E$3</formula>
    </cfRule>
    <cfRule type="expression" dxfId="2296" priority="692">
      <formula>$C50&lt;$E$3</formula>
    </cfRule>
    <cfRule type="cellIs" dxfId="2295" priority="693" operator="equal">
      <formula>0</formula>
    </cfRule>
    <cfRule type="expression" dxfId="2294" priority="694">
      <formula>$C50&gt;$E$3</formula>
    </cfRule>
  </conditionalFormatting>
  <conditionalFormatting sqref="K50:K51">
    <cfRule type="expression" dxfId="2293" priority="675">
      <formula>$E50=""</formula>
    </cfRule>
  </conditionalFormatting>
  <conditionalFormatting sqref="V50:W51 V5:W20 V23:W29 V32:W38 V41:W47">
    <cfRule type="cellIs" dxfId="2292" priority="1592" stopIfTrue="1" operator="lessThan">
      <formula>0</formula>
    </cfRule>
  </conditionalFormatting>
  <conditionalFormatting sqref="Q4:Q51 R5:R11 R14:R20 R23:R29 R32:R38 R41:R47 R50:R51 T50:U51 T41:U47 T32:U38 T23:U29 T14:U20 T5:U11">
    <cfRule type="cellIs" dxfId="2291" priority="1593" stopIfTrue="1" operator="lessThan">
      <formula>0</formula>
    </cfRule>
  </conditionalFormatting>
  <conditionalFormatting sqref="J14:J20 J41:J47 L14:M20 L32:M38 L41:M47 J23:J29 J32:J38 L23:M29">
    <cfRule type="expression" dxfId="2290" priority="624">
      <formula>$C14&lt;$E$3</formula>
    </cfRule>
  </conditionalFormatting>
  <conditionalFormatting sqref="M14:M20 M32:M38 M41:M47 M23:M29">
    <cfRule type="expression" dxfId="2289" priority="617">
      <formula>$C14&lt;$E$3</formula>
    </cfRule>
  </conditionalFormatting>
  <conditionalFormatting sqref="M14:M20 M32:M38 M41:M47 M23:M29">
    <cfRule type="expression" dxfId="2288" priority="591">
      <formula>$C14&lt;$E$3</formula>
    </cfRule>
  </conditionalFormatting>
  <conditionalFormatting sqref="M14:M20 M32:M38 M41:M47 M23:M29">
    <cfRule type="expression" dxfId="2287" priority="590">
      <formula>$E14=""</formula>
    </cfRule>
  </conditionalFormatting>
  <conditionalFormatting sqref="M14:M20 M32:M38 M41:M47 M23:M29">
    <cfRule type="expression" dxfId="2286" priority="589">
      <formula>$C14&lt;$E$3</formula>
    </cfRule>
  </conditionalFormatting>
  <conditionalFormatting sqref="M14:M20 M32:M38 M41:M47 M23:M29">
    <cfRule type="expression" dxfId="2285" priority="587">
      <formula>$C14&lt;$E$3</formula>
    </cfRule>
  </conditionalFormatting>
  <conditionalFormatting sqref="M14:M20 M32:M38 M41:M47 M23:M29">
    <cfRule type="expression" dxfId="2284" priority="582">
      <formula>$C14&lt;$E$3</formula>
    </cfRule>
  </conditionalFormatting>
  <conditionalFormatting sqref="K14:K20">
    <cfRule type="expression" dxfId="2283" priority="554">
      <formula>$C14&lt;$E$3</formula>
    </cfRule>
  </conditionalFormatting>
  <conditionalFormatting sqref="K14:K20">
    <cfRule type="expression" dxfId="2282" priority="548">
      <formula>$E14=""</formula>
    </cfRule>
  </conditionalFormatting>
  <conditionalFormatting sqref="K19">
    <cfRule type="expression" dxfId="2281" priority="547">
      <formula>$C19&lt;$E$3</formula>
    </cfRule>
  </conditionalFormatting>
  <conditionalFormatting sqref="K19">
    <cfRule type="expression" dxfId="2280" priority="521">
      <formula>$C19&lt;$E$3</formula>
    </cfRule>
  </conditionalFormatting>
  <conditionalFormatting sqref="K19">
    <cfRule type="expression" dxfId="2279" priority="520">
      <formula>$E19=""</formula>
    </cfRule>
  </conditionalFormatting>
  <conditionalFormatting sqref="K19">
    <cfRule type="expression" dxfId="2278" priority="519">
      <formula>$C19&lt;$E$3</formula>
    </cfRule>
  </conditionalFormatting>
  <conditionalFormatting sqref="K19">
    <cfRule type="expression" dxfId="2277" priority="517">
      <formula>$C19&lt;$E$3</formula>
    </cfRule>
  </conditionalFormatting>
  <conditionalFormatting sqref="K19">
    <cfRule type="expression" dxfId="2276" priority="491">
      <formula>$C19&lt;$E$3</formula>
    </cfRule>
  </conditionalFormatting>
  <conditionalFormatting sqref="K19">
    <cfRule type="expression" dxfId="2275" priority="490">
      <formula>$E19=""</formula>
    </cfRule>
  </conditionalFormatting>
  <conditionalFormatting sqref="K19">
    <cfRule type="expression" dxfId="2274" priority="489">
      <formula>$C19&lt;$E$3</formula>
    </cfRule>
  </conditionalFormatting>
  <conditionalFormatting sqref="K14:K18">
    <cfRule type="expression" dxfId="2273" priority="487">
      <formula>$C14&lt;$E$3</formula>
    </cfRule>
  </conditionalFormatting>
  <conditionalFormatting sqref="K14:K18">
    <cfRule type="expression" dxfId="2272" priority="461">
      <formula>$C14&lt;$E$3</formula>
    </cfRule>
  </conditionalFormatting>
  <conditionalFormatting sqref="K14:K18">
    <cfRule type="expression" dxfId="2271" priority="460">
      <formula>$E14=""</formula>
    </cfRule>
  </conditionalFormatting>
  <conditionalFormatting sqref="K14:K18">
    <cfRule type="expression" dxfId="2270" priority="459">
      <formula>$C14&lt;$E$3</formula>
    </cfRule>
  </conditionalFormatting>
  <conditionalFormatting sqref="K14:K18">
    <cfRule type="expression" dxfId="2269" priority="457">
      <formula>$C14&lt;$E$3</formula>
    </cfRule>
  </conditionalFormatting>
  <conditionalFormatting sqref="K14:K18">
    <cfRule type="expression" dxfId="2268" priority="433">
      <formula>$C14&lt;$E$3</formula>
    </cfRule>
  </conditionalFormatting>
  <conditionalFormatting sqref="K23:K29">
    <cfRule type="expression" dxfId="2267" priority="417">
      <formula>$C23&lt;$E$3</formula>
    </cfRule>
  </conditionalFormatting>
  <conditionalFormatting sqref="K23:K29">
    <cfRule type="expression" dxfId="2266" priority="411">
      <formula>$E23=""</formula>
    </cfRule>
  </conditionalFormatting>
  <conditionalFormatting sqref="K28">
    <cfRule type="expression" dxfId="2265" priority="410">
      <formula>$C28&lt;$E$3</formula>
    </cfRule>
  </conditionalFormatting>
  <conditionalFormatting sqref="K28">
    <cfRule type="expression" dxfId="2264" priority="384">
      <formula>$C28&lt;$E$3</formula>
    </cfRule>
  </conditionalFormatting>
  <conditionalFormatting sqref="K28">
    <cfRule type="expression" dxfId="2263" priority="383">
      <formula>$E28=""</formula>
    </cfRule>
  </conditionalFormatting>
  <conditionalFormatting sqref="K28">
    <cfRule type="expression" dxfId="2262" priority="382">
      <formula>$C28&lt;$E$3</formula>
    </cfRule>
  </conditionalFormatting>
  <conditionalFormatting sqref="K28">
    <cfRule type="expression" dxfId="2261" priority="380">
      <formula>$C28&lt;$E$3</formula>
    </cfRule>
  </conditionalFormatting>
  <conditionalFormatting sqref="K28">
    <cfRule type="expression" dxfId="2260" priority="354">
      <formula>$C28&lt;$E$3</formula>
    </cfRule>
  </conditionalFormatting>
  <conditionalFormatting sqref="K28">
    <cfRule type="expression" dxfId="2259" priority="353">
      <formula>$E28=""</formula>
    </cfRule>
  </conditionalFormatting>
  <conditionalFormatting sqref="K28">
    <cfRule type="expression" dxfId="2258" priority="352">
      <formula>$C28&lt;$E$3</formula>
    </cfRule>
  </conditionalFormatting>
  <conditionalFormatting sqref="K23:K27">
    <cfRule type="expression" dxfId="2257" priority="350">
      <formula>$C23&lt;$E$3</formula>
    </cfRule>
  </conditionalFormatting>
  <conditionalFormatting sqref="K23:K27">
    <cfRule type="expression" dxfId="2256" priority="324">
      <formula>$C23&lt;$E$3</formula>
    </cfRule>
  </conditionalFormatting>
  <conditionalFormatting sqref="K23:K27">
    <cfRule type="expression" dxfId="2255" priority="323">
      <formula>$E23=""</formula>
    </cfRule>
  </conditionalFormatting>
  <conditionalFormatting sqref="K23:K27">
    <cfRule type="expression" dxfId="2254" priority="322">
      <formula>$C23&lt;$E$3</formula>
    </cfRule>
  </conditionalFormatting>
  <conditionalFormatting sqref="K23:K27">
    <cfRule type="expression" dxfId="2253" priority="320">
      <formula>$C23&lt;$E$3</formula>
    </cfRule>
  </conditionalFormatting>
  <conditionalFormatting sqref="K23:K27">
    <cfRule type="expression" dxfId="2252" priority="296">
      <formula>$C23&lt;$E$3</formula>
    </cfRule>
  </conditionalFormatting>
  <conditionalFormatting sqref="K32:K38">
    <cfRule type="expression" dxfId="2251" priority="280">
      <formula>$C32&lt;$E$3</formula>
    </cfRule>
  </conditionalFormatting>
  <conditionalFormatting sqref="K32:K38">
    <cfRule type="expression" dxfId="2250" priority="274">
      <formula>$E32=""</formula>
    </cfRule>
  </conditionalFormatting>
  <conditionalFormatting sqref="K37">
    <cfRule type="expression" dxfId="2249" priority="273">
      <formula>$C37&lt;$E$3</formula>
    </cfRule>
  </conditionalFormatting>
  <conditionalFormatting sqref="K37">
    <cfRule type="expression" dxfId="2248" priority="247">
      <formula>$C37&lt;$E$3</formula>
    </cfRule>
  </conditionalFormatting>
  <conditionalFormatting sqref="K37">
    <cfRule type="expression" dxfId="2247" priority="246">
      <formula>$E37=""</formula>
    </cfRule>
  </conditionalFormatting>
  <conditionalFormatting sqref="K37">
    <cfRule type="expression" dxfId="2246" priority="245">
      <formula>$C37&lt;$E$3</formula>
    </cfRule>
  </conditionalFormatting>
  <conditionalFormatting sqref="K37">
    <cfRule type="expression" dxfId="2245" priority="243">
      <formula>$C37&lt;$E$3</formula>
    </cfRule>
  </conditionalFormatting>
  <conditionalFormatting sqref="K37">
    <cfRule type="expression" dxfId="2244" priority="217">
      <formula>$C37&lt;$E$3</formula>
    </cfRule>
  </conditionalFormatting>
  <conditionalFormatting sqref="K37">
    <cfRule type="expression" dxfId="2243" priority="216">
      <formula>$E37=""</formula>
    </cfRule>
  </conditionalFormatting>
  <conditionalFormatting sqref="K37">
    <cfRule type="expression" dxfId="2242" priority="215">
      <formula>$C37&lt;$E$3</formula>
    </cfRule>
  </conditionalFormatting>
  <conditionalFormatting sqref="K32:K36">
    <cfRule type="expression" dxfId="2241" priority="213">
      <formula>$C32&lt;$E$3</formula>
    </cfRule>
  </conditionalFormatting>
  <conditionalFormatting sqref="K32:K36">
    <cfRule type="expression" dxfId="2240" priority="187">
      <formula>$C32&lt;$E$3</formula>
    </cfRule>
  </conditionalFormatting>
  <conditionalFormatting sqref="K32:K36">
    <cfRule type="expression" dxfId="2239" priority="186">
      <formula>$E32=""</formula>
    </cfRule>
  </conditionalFormatting>
  <conditionalFormatting sqref="K32:K36">
    <cfRule type="expression" dxfId="2238" priority="185">
      <formula>$C32&lt;$E$3</formula>
    </cfRule>
  </conditionalFormatting>
  <conditionalFormatting sqref="K32:K36">
    <cfRule type="expression" dxfId="2237" priority="183">
      <formula>$C32&lt;$E$3</formula>
    </cfRule>
  </conditionalFormatting>
  <conditionalFormatting sqref="K32:K36">
    <cfRule type="expression" dxfId="2236" priority="159">
      <formula>$C32&lt;$E$3</formula>
    </cfRule>
  </conditionalFormatting>
  <conditionalFormatting sqref="K41:K47">
    <cfRule type="expression" dxfId="2235" priority="143">
      <formula>$C41&lt;$E$3</formula>
    </cfRule>
  </conditionalFormatting>
  <conditionalFormatting sqref="K41:K47">
    <cfRule type="expression" dxfId="2234" priority="137">
      <formula>$E41=""</formula>
    </cfRule>
  </conditionalFormatting>
  <conditionalFormatting sqref="K46">
    <cfRule type="expression" dxfId="2233" priority="136">
      <formula>$C46&lt;$E$3</formula>
    </cfRule>
  </conditionalFormatting>
  <conditionalFormatting sqref="K46">
    <cfRule type="expression" dxfId="2232" priority="110">
      <formula>$C46&lt;$E$3</formula>
    </cfRule>
  </conditionalFormatting>
  <conditionalFormatting sqref="K46">
    <cfRule type="expression" dxfId="2231" priority="109">
      <formula>$E46=""</formula>
    </cfRule>
  </conditionalFormatting>
  <conditionalFormatting sqref="K46">
    <cfRule type="expression" dxfId="2230" priority="108">
      <formula>$C46&lt;$E$3</formula>
    </cfRule>
  </conditionalFormatting>
  <conditionalFormatting sqref="K46">
    <cfRule type="expression" dxfId="2229" priority="106">
      <formula>$C46&lt;$E$3</formula>
    </cfRule>
  </conditionalFormatting>
  <conditionalFormatting sqref="K46">
    <cfRule type="expression" dxfId="2228" priority="80">
      <formula>$C46&lt;$E$3</formula>
    </cfRule>
  </conditionalFormatting>
  <conditionalFormatting sqref="K46">
    <cfRule type="expression" dxfId="2227" priority="79">
      <formula>$E46=""</formula>
    </cfRule>
  </conditionalFormatting>
  <conditionalFormatting sqref="K46">
    <cfRule type="expression" dxfId="2226" priority="78">
      <formula>$C46&lt;$E$3</formula>
    </cfRule>
  </conditionalFormatting>
  <conditionalFormatting sqref="K41:K45">
    <cfRule type="expression" dxfId="2225" priority="76">
      <formula>$C41&lt;$E$3</formula>
    </cfRule>
  </conditionalFormatting>
  <conditionalFormatting sqref="K41:K45">
    <cfRule type="expression" dxfId="2224" priority="50">
      <formula>$C41&lt;$E$3</formula>
    </cfRule>
  </conditionalFormatting>
  <conditionalFormatting sqref="K41:K45">
    <cfRule type="expression" dxfId="2223" priority="49">
      <formula>$E41=""</formula>
    </cfRule>
  </conditionalFormatting>
  <conditionalFormatting sqref="K41:K45">
    <cfRule type="expression" dxfId="2222" priority="48">
      <formula>$C41&lt;$E$3</formula>
    </cfRule>
  </conditionalFormatting>
  <conditionalFormatting sqref="K41:K45">
    <cfRule type="expression" dxfId="2221" priority="46">
      <formula>$C41&lt;$E$3</formula>
    </cfRule>
  </conditionalFormatting>
  <conditionalFormatting sqref="H14:H20">
    <cfRule type="cellIs" dxfId="2220" priority="950" stopIfTrue="1" operator="lessThan">
      <formula>0</formula>
    </cfRule>
  </conditionalFormatting>
  <conditionalFormatting sqref="H14:H20">
    <cfRule type="expression" dxfId="2219" priority="951">
      <formula>$C14=$E$3</formula>
    </cfRule>
    <cfRule type="expression" dxfId="2218" priority="952">
      <formula>$C14&lt;$E$3</formula>
    </cfRule>
    <cfRule type="cellIs" dxfId="2217" priority="953" operator="equal">
      <formula>0</formula>
    </cfRule>
    <cfRule type="expression" dxfId="2216" priority="954">
      <formula>$C14&gt;$E$3</formula>
    </cfRule>
  </conditionalFormatting>
  <conditionalFormatting sqref="H14:H20">
    <cfRule type="expression" dxfId="2215" priority="946">
      <formula>$C14=$E$3</formula>
    </cfRule>
    <cfRule type="expression" dxfId="2214" priority="947">
      <formula>$C14&lt;$E$3</formula>
    </cfRule>
    <cfRule type="cellIs" dxfId="2213" priority="948" operator="equal">
      <formula>0</formula>
    </cfRule>
    <cfRule type="expression" dxfId="2212" priority="949">
      <formula>$C14&gt;$E$3</formula>
    </cfRule>
  </conditionalFormatting>
  <conditionalFormatting sqref="H14:H20">
    <cfRule type="expression" dxfId="2211" priority="945">
      <formula>$C14&lt;$E$3</formula>
    </cfRule>
  </conditionalFormatting>
  <conditionalFormatting sqref="H14:H20">
    <cfRule type="expression" dxfId="2210" priority="944">
      <formula>$E14=""</formula>
    </cfRule>
  </conditionalFormatting>
  <conditionalFormatting sqref="H14:H20">
    <cfRule type="expression" dxfId="2209" priority="940">
      <formula>$C14=$E$3</formula>
    </cfRule>
    <cfRule type="expression" dxfId="2208" priority="941">
      <formula>$C14&lt;$E$3</formula>
    </cfRule>
    <cfRule type="cellIs" dxfId="2207" priority="942" operator="equal">
      <formula>0</formula>
    </cfRule>
    <cfRule type="expression" dxfId="2206" priority="943">
      <formula>$C14&gt;$E$3</formula>
    </cfRule>
  </conditionalFormatting>
  <conditionalFormatting sqref="H14:H20">
    <cfRule type="expression" dxfId="2205" priority="939">
      <formula>$C14&lt;$E$3</formula>
    </cfRule>
  </conditionalFormatting>
  <conditionalFormatting sqref="H14:H20">
    <cfRule type="expression" dxfId="2204" priority="938">
      <formula>$E14=""</formula>
    </cfRule>
  </conditionalFormatting>
  <conditionalFormatting sqref="H14:H20">
    <cfRule type="expression" dxfId="2203" priority="937">
      <formula>$C14&lt;$E$3</formula>
    </cfRule>
  </conditionalFormatting>
  <conditionalFormatting sqref="H14:H20">
    <cfRule type="expression" dxfId="2202" priority="933">
      <formula>$C14=$E$3</formula>
    </cfRule>
    <cfRule type="expression" dxfId="2201" priority="934">
      <formula>$C14&lt;$E$3</formula>
    </cfRule>
    <cfRule type="cellIs" dxfId="2200" priority="935" operator="equal">
      <formula>0</formula>
    </cfRule>
    <cfRule type="expression" dxfId="2199" priority="936">
      <formula>$C14&gt;$E$3</formula>
    </cfRule>
  </conditionalFormatting>
  <conditionalFormatting sqref="H14:H20">
    <cfRule type="expression" dxfId="2198" priority="932">
      <formula>$E14=""</formula>
    </cfRule>
  </conditionalFormatting>
  <conditionalFormatting sqref="H14:H20">
    <cfRule type="expression" dxfId="2197" priority="931">
      <formula>$C14&lt;$E$3</formula>
    </cfRule>
  </conditionalFormatting>
  <conditionalFormatting sqref="H14:H20">
    <cfRule type="expression" dxfId="2196" priority="930">
      <formula>$E14=""</formula>
    </cfRule>
  </conditionalFormatting>
  <conditionalFormatting sqref="H14:H20">
    <cfRule type="expression" dxfId="2195" priority="929">
      <formula>$E14=""</formula>
    </cfRule>
  </conditionalFormatting>
  <conditionalFormatting sqref="H14:H20">
    <cfRule type="expression" dxfId="2194" priority="928">
      <formula>$C14&lt;$E$3</formula>
    </cfRule>
  </conditionalFormatting>
  <conditionalFormatting sqref="H14:H20">
    <cfRule type="expression" dxfId="2193" priority="927">
      <formula>$E14=""</formula>
    </cfRule>
  </conditionalFormatting>
  <conditionalFormatting sqref="H14:H20">
    <cfRule type="expression" dxfId="2192" priority="926">
      <formula>$C14&lt;$E$3</formula>
    </cfRule>
  </conditionalFormatting>
  <conditionalFormatting sqref="H14:H20">
    <cfRule type="expression" dxfId="2191" priority="925">
      <formula>$E14=""</formula>
    </cfRule>
  </conditionalFormatting>
  <conditionalFormatting sqref="H14:H20">
    <cfRule type="expression" dxfId="2190" priority="924">
      <formula>$C14&lt;$E$3</formula>
    </cfRule>
  </conditionalFormatting>
  <conditionalFormatting sqref="H14:H20">
    <cfRule type="expression" dxfId="2189" priority="923">
      <formula>$E14=""</formula>
    </cfRule>
  </conditionalFormatting>
  <conditionalFormatting sqref="K5:K11 K50:K51">
    <cfRule type="cellIs" dxfId="2188" priority="922" stopIfTrue="1" operator="lessThan">
      <formula>0</formula>
    </cfRule>
  </conditionalFormatting>
  <conditionalFormatting sqref="K5:K11 K50:K51">
    <cfRule type="expression" dxfId="2187" priority="920">
      <formula>$C5&lt;$E$3</formula>
    </cfRule>
  </conditionalFormatting>
  <conditionalFormatting sqref="K5:K11 K50:K51">
    <cfRule type="expression" dxfId="2186" priority="917">
      <formula>$C5=$E$3</formula>
    </cfRule>
    <cfRule type="expression" dxfId="2185" priority="918">
      <formula>$C5&lt;$E$3</formula>
    </cfRule>
    <cfRule type="cellIs" dxfId="2184" priority="919" operator="equal">
      <formula>0</formula>
    </cfRule>
    <cfRule type="expression" dxfId="2183" priority="921">
      <formula>$C5&gt;$E$3</formula>
    </cfRule>
  </conditionalFormatting>
  <conditionalFormatting sqref="K5:K11 K50:K51">
    <cfRule type="expression" dxfId="2182" priority="916">
      <formula>$E5=""</formula>
    </cfRule>
  </conditionalFormatting>
  <conditionalFormatting sqref="K5:K11 K50:K51">
    <cfRule type="expression" dxfId="2181" priority="915">
      <formula>$E5=""</formula>
    </cfRule>
  </conditionalFormatting>
  <conditionalFormatting sqref="K5:K11 K50:K51">
    <cfRule type="expression" dxfId="2180" priority="914">
      <formula>$E5=""</formula>
    </cfRule>
  </conditionalFormatting>
  <conditionalFormatting sqref="J5:J11 J50:J51 L5:M11 L50:N51">
    <cfRule type="cellIs" dxfId="2179" priority="913" stopIfTrue="1" operator="lessThan">
      <formula>0</formula>
    </cfRule>
  </conditionalFormatting>
  <conditionalFormatting sqref="J5:J11 J50:J51 L5:M11 L50:M51">
    <cfRule type="expression" dxfId="2178" priority="911">
      <formula>$C5&lt;$E$3</formula>
    </cfRule>
  </conditionalFormatting>
  <conditionalFormatting sqref="J5:J11 J50:J51 L5:M11 L50:M51">
    <cfRule type="expression" dxfId="2177" priority="908">
      <formula>$C5=$E$3</formula>
    </cfRule>
    <cfRule type="expression" dxfId="2176" priority="909">
      <formula>$C5&lt;$E$3</formula>
    </cfRule>
    <cfRule type="cellIs" dxfId="2175" priority="910" operator="equal">
      <formula>0</formula>
    </cfRule>
    <cfRule type="expression" dxfId="2174" priority="912">
      <formula>$C5&gt;$E$3</formula>
    </cfRule>
  </conditionalFormatting>
  <conditionalFormatting sqref="J5:J11 J50:J51 L5:M11 L50:M51">
    <cfRule type="expression" dxfId="2173" priority="907">
      <formula>$E5=""</formula>
    </cfRule>
  </conditionalFormatting>
  <conditionalFormatting sqref="J5:J11 J50:J51 L5:M11 L50:M51">
    <cfRule type="expression" dxfId="2172" priority="906">
      <formula>$E5=""</formula>
    </cfRule>
  </conditionalFormatting>
  <conditionalFormatting sqref="J5:J11 J50:J51 L5:M11 L50:M51">
    <cfRule type="expression" dxfId="2171" priority="905">
      <formula>$E5=""</formula>
    </cfRule>
  </conditionalFormatting>
  <conditionalFormatting sqref="M5:M11 M50:M51">
    <cfRule type="expression" dxfId="2170" priority="904">
      <formula>$C5&lt;$E$3</formula>
    </cfRule>
  </conditionalFormatting>
  <conditionalFormatting sqref="M5:M11 M50:M51">
    <cfRule type="expression" dxfId="2169" priority="900">
      <formula>$C5=$E$3</formula>
    </cfRule>
    <cfRule type="expression" dxfId="2168" priority="901">
      <formula>$C5&lt;$E$3</formula>
    </cfRule>
    <cfRule type="cellIs" dxfId="2167" priority="902" operator="equal">
      <formula>0</formula>
    </cfRule>
    <cfRule type="expression" dxfId="2166" priority="903">
      <formula>$C5&gt;$E$3</formula>
    </cfRule>
  </conditionalFormatting>
  <conditionalFormatting sqref="M5:M11 M50:M51">
    <cfRule type="expression" dxfId="2165" priority="899">
      <formula>$C5&lt;$E$3</formula>
    </cfRule>
  </conditionalFormatting>
  <conditionalFormatting sqref="M5:M11 M50:M51">
    <cfRule type="expression" dxfId="2164" priority="895">
      <formula>$C5=$E$3</formula>
    </cfRule>
    <cfRule type="expression" dxfId="2163" priority="896">
      <formula>$C5&lt;$E$3</formula>
    </cfRule>
    <cfRule type="cellIs" dxfId="2162" priority="897" operator="equal">
      <formula>0</formula>
    </cfRule>
    <cfRule type="expression" dxfId="2161" priority="898">
      <formula>$C5&gt;$E$3</formula>
    </cfRule>
  </conditionalFormatting>
  <conditionalFormatting sqref="M5:M11 M50:M51">
    <cfRule type="expression" dxfId="2160" priority="894">
      <formula>$C5&lt;$E$3</formula>
    </cfRule>
  </conditionalFormatting>
  <conditionalFormatting sqref="M5:M11 M50:M51">
    <cfRule type="expression" dxfId="2159" priority="890">
      <formula>$C5=$E$3</formula>
    </cfRule>
    <cfRule type="expression" dxfId="2158" priority="891">
      <formula>$C5&lt;$E$3</formula>
    </cfRule>
    <cfRule type="cellIs" dxfId="2157" priority="892" operator="equal">
      <formula>0</formula>
    </cfRule>
    <cfRule type="expression" dxfId="2156" priority="893">
      <formula>$C5&gt;$E$3</formula>
    </cfRule>
  </conditionalFormatting>
  <conditionalFormatting sqref="M5:M11 M50:M51">
    <cfRule type="expression" dxfId="2155" priority="889">
      <formula>$C5&lt;$E$3</formula>
    </cfRule>
  </conditionalFormatting>
  <conditionalFormatting sqref="M5:M11 M50:M51">
    <cfRule type="expression" dxfId="2154" priority="885">
      <formula>$C5=$E$3</formula>
    </cfRule>
    <cfRule type="expression" dxfId="2153" priority="886">
      <formula>$C5&lt;$E$3</formula>
    </cfRule>
    <cfRule type="cellIs" dxfId="2152" priority="887" operator="equal">
      <formula>0</formula>
    </cfRule>
    <cfRule type="expression" dxfId="2151" priority="888">
      <formula>$C5&gt;$E$3</formula>
    </cfRule>
  </conditionalFormatting>
  <conditionalFormatting sqref="M5:M11 M50:M51">
    <cfRule type="expression" dxfId="2150" priority="884">
      <formula>$E5=""</formula>
    </cfRule>
  </conditionalFormatting>
  <conditionalFormatting sqref="M5:M11 M50:M51">
    <cfRule type="expression" dxfId="2149" priority="883">
      <formula>$C5&lt;$E$3</formula>
    </cfRule>
  </conditionalFormatting>
  <conditionalFormatting sqref="M5:M11 M50:M51">
    <cfRule type="expression" dxfId="2148" priority="882">
      <formula>$E5=""</formula>
    </cfRule>
  </conditionalFormatting>
  <conditionalFormatting sqref="M5:M11 M50:M51">
    <cfRule type="expression" dxfId="2147" priority="881">
      <formula>$E5=""</formula>
    </cfRule>
  </conditionalFormatting>
  <conditionalFormatting sqref="M5:M11 M50:M51">
    <cfRule type="expression" dxfId="2146" priority="880">
      <formula>$C5&lt;$E$3</formula>
    </cfRule>
  </conditionalFormatting>
  <conditionalFormatting sqref="M5:M11 M50:M51">
    <cfRule type="expression" dxfId="2145" priority="879">
      <formula>$E5=""</formula>
    </cfRule>
  </conditionalFormatting>
  <conditionalFormatting sqref="M5:M11 M50:M51">
    <cfRule type="expression" dxfId="2144" priority="878">
      <formula>$C5&lt;$E$3</formula>
    </cfRule>
  </conditionalFormatting>
  <conditionalFormatting sqref="M5:M11 M50:M51">
    <cfRule type="expression" dxfId="2143" priority="877">
      <formula>$E5=""</formula>
    </cfRule>
  </conditionalFormatting>
  <conditionalFormatting sqref="M5:M11 M50:M51">
    <cfRule type="expression" dxfId="2142" priority="876">
      <formula>$C5&lt;$E$3</formula>
    </cfRule>
  </conditionalFormatting>
  <conditionalFormatting sqref="M5:M11 M50:M51">
    <cfRule type="expression" dxfId="2141" priority="875">
      <formula>$E5=""</formula>
    </cfRule>
  </conditionalFormatting>
  <conditionalFormatting sqref="M5:M11 M50:M51">
    <cfRule type="expression" dxfId="2140" priority="874">
      <formula>$C5&lt;$E$3</formula>
    </cfRule>
  </conditionalFormatting>
  <conditionalFormatting sqref="M5:M11 M50:M51">
    <cfRule type="expression" dxfId="2139" priority="870">
      <formula>$C5=$E$3</formula>
    </cfRule>
    <cfRule type="expression" dxfId="2138" priority="871">
      <formula>$C5&lt;$E$3</formula>
    </cfRule>
    <cfRule type="cellIs" dxfId="2137" priority="872" operator="equal">
      <formula>0</formula>
    </cfRule>
    <cfRule type="expression" dxfId="2136" priority="873">
      <formula>$C5&gt;$E$3</formula>
    </cfRule>
  </conditionalFormatting>
  <conditionalFormatting sqref="M5:M11 M50:M51">
    <cfRule type="expression" dxfId="2135" priority="869">
      <formula>$C5&lt;$E$3</formula>
    </cfRule>
  </conditionalFormatting>
  <conditionalFormatting sqref="M5:M11 M50:M51">
    <cfRule type="expression" dxfId="2134" priority="865">
      <formula>$C5=$E$3</formula>
    </cfRule>
    <cfRule type="expression" dxfId="2133" priority="866">
      <formula>$C5&lt;$E$3</formula>
    </cfRule>
    <cfRule type="cellIs" dxfId="2132" priority="867" operator="equal">
      <formula>0</formula>
    </cfRule>
    <cfRule type="expression" dxfId="2131" priority="868">
      <formula>$C5&gt;$E$3</formula>
    </cfRule>
  </conditionalFormatting>
  <conditionalFormatting sqref="M5:M11 M50:M51">
    <cfRule type="expression" dxfId="2130" priority="864">
      <formula>$C5&lt;$E$3</formula>
    </cfRule>
  </conditionalFormatting>
  <conditionalFormatting sqref="M5:M11 M50:M51">
    <cfRule type="expression" dxfId="2129" priority="860">
      <formula>$C5=$E$3</formula>
    </cfRule>
    <cfRule type="expression" dxfId="2128" priority="861">
      <formula>$C5&lt;$E$3</formula>
    </cfRule>
    <cfRule type="cellIs" dxfId="2127" priority="862" operator="equal">
      <formula>0</formula>
    </cfRule>
    <cfRule type="expression" dxfId="2126" priority="863">
      <formula>$C5&gt;$E$3</formula>
    </cfRule>
  </conditionalFormatting>
  <conditionalFormatting sqref="M5:M11 M50:M51">
    <cfRule type="expression" dxfId="2125" priority="859">
      <formula>$C5&lt;$E$3</formula>
    </cfRule>
  </conditionalFormatting>
  <conditionalFormatting sqref="M5:M11 M50:M51">
    <cfRule type="expression" dxfId="2124" priority="855">
      <formula>$C5=$E$3</formula>
    </cfRule>
    <cfRule type="expression" dxfId="2123" priority="856">
      <formula>$C5&lt;$E$3</formula>
    </cfRule>
    <cfRule type="cellIs" dxfId="2122" priority="857" operator="equal">
      <formula>0</formula>
    </cfRule>
    <cfRule type="expression" dxfId="2121" priority="858">
      <formula>$C5&gt;$E$3</formula>
    </cfRule>
  </conditionalFormatting>
  <conditionalFormatting sqref="M5:M11 M50:M51">
    <cfRule type="expression" dxfId="2120" priority="854">
      <formula>$E5=""</formula>
    </cfRule>
  </conditionalFormatting>
  <conditionalFormatting sqref="M5:M11 M50:M51">
    <cfRule type="expression" dxfId="2119" priority="853">
      <formula>$C5&lt;$E$3</formula>
    </cfRule>
  </conditionalFormatting>
  <conditionalFormatting sqref="M5:M11 M50:M51">
    <cfRule type="expression" dxfId="2118" priority="852">
      <formula>$E5=""</formula>
    </cfRule>
  </conditionalFormatting>
  <conditionalFormatting sqref="M5:M11 M50:M51">
    <cfRule type="expression" dxfId="2117" priority="851">
      <formula>$E5=""</formula>
    </cfRule>
  </conditionalFormatting>
  <conditionalFormatting sqref="M5:M11 M50:M51">
    <cfRule type="expression" dxfId="2116" priority="850">
      <formula>$C5&lt;$E$3</formula>
    </cfRule>
  </conditionalFormatting>
  <conditionalFormatting sqref="M5:M11 M50:M51">
    <cfRule type="expression" dxfId="2115" priority="849">
      <formula>$E5=""</formula>
    </cfRule>
  </conditionalFormatting>
  <conditionalFormatting sqref="M5:M11 M50:M51">
    <cfRule type="expression" dxfId="2114" priority="848">
      <formula>$C5&lt;$E$3</formula>
    </cfRule>
  </conditionalFormatting>
  <conditionalFormatting sqref="M5:M11 M50:M51">
    <cfRule type="expression" dxfId="2113" priority="847">
      <formula>$E5=""</formula>
    </cfRule>
  </conditionalFormatting>
  <conditionalFormatting sqref="M5:M11 M50:M51">
    <cfRule type="expression" dxfId="2112" priority="846">
      <formula>$C5&lt;$E$3</formula>
    </cfRule>
  </conditionalFormatting>
  <conditionalFormatting sqref="M5:M11 M50:M51">
    <cfRule type="expression" dxfId="2111" priority="845">
      <formula>$E5=""</formula>
    </cfRule>
  </conditionalFormatting>
  <conditionalFormatting sqref="K10">
    <cfRule type="expression" dxfId="2110" priority="844">
      <formula>$C10&lt;$E$3</formula>
    </cfRule>
  </conditionalFormatting>
  <conditionalFormatting sqref="K10">
    <cfRule type="expression" dxfId="2109" priority="840">
      <formula>$C10=$E$3</formula>
    </cfRule>
    <cfRule type="expression" dxfId="2108" priority="841">
      <formula>$C10&lt;$E$3</formula>
    </cfRule>
    <cfRule type="cellIs" dxfId="2107" priority="842" operator="equal">
      <formula>0</formula>
    </cfRule>
    <cfRule type="expression" dxfId="2106" priority="843">
      <formula>$C10&gt;$E$3</formula>
    </cfRule>
  </conditionalFormatting>
  <conditionalFormatting sqref="K10">
    <cfRule type="expression" dxfId="2105" priority="839">
      <formula>$C10&lt;$E$3</formula>
    </cfRule>
  </conditionalFormatting>
  <conditionalFormatting sqref="K10">
    <cfRule type="expression" dxfId="2104" priority="835">
      <formula>$C10=$E$3</formula>
    </cfRule>
    <cfRule type="expression" dxfId="2103" priority="836">
      <formula>$C10&lt;$E$3</formula>
    </cfRule>
    <cfRule type="cellIs" dxfId="2102" priority="837" operator="equal">
      <formula>0</formula>
    </cfRule>
    <cfRule type="expression" dxfId="2101" priority="838">
      <formula>$C10&gt;$E$3</formula>
    </cfRule>
  </conditionalFormatting>
  <conditionalFormatting sqref="K10">
    <cfRule type="expression" dxfId="2100" priority="834">
      <formula>$C10&lt;$E$3</formula>
    </cfRule>
  </conditionalFormatting>
  <conditionalFormatting sqref="K10">
    <cfRule type="expression" dxfId="2099" priority="830">
      <formula>$C10=$E$3</formula>
    </cfRule>
    <cfRule type="expression" dxfId="2098" priority="831">
      <formula>$C10&lt;$E$3</formula>
    </cfRule>
    <cfRule type="cellIs" dxfId="2097" priority="832" operator="equal">
      <formula>0</formula>
    </cfRule>
    <cfRule type="expression" dxfId="2096" priority="833">
      <formula>$C10&gt;$E$3</formula>
    </cfRule>
  </conditionalFormatting>
  <conditionalFormatting sqref="K10">
    <cfRule type="expression" dxfId="2095" priority="829">
      <formula>$C10&lt;$E$3</formula>
    </cfRule>
  </conditionalFormatting>
  <conditionalFormatting sqref="K10">
    <cfRule type="expression" dxfId="2094" priority="825">
      <formula>$C10=$E$3</formula>
    </cfRule>
    <cfRule type="expression" dxfId="2093" priority="826">
      <formula>$C10&lt;$E$3</formula>
    </cfRule>
    <cfRule type="cellIs" dxfId="2092" priority="827" operator="equal">
      <formula>0</formula>
    </cfRule>
    <cfRule type="expression" dxfId="2091" priority="828">
      <formula>$C10&gt;$E$3</formula>
    </cfRule>
  </conditionalFormatting>
  <conditionalFormatting sqref="K10">
    <cfRule type="expression" dxfId="2090" priority="824">
      <formula>$E10=""</formula>
    </cfRule>
  </conditionalFormatting>
  <conditionalFormatting sqref="K10">
    <cfRule type="expression" dxfId="2089" priority="823">
      <formula>$C10&lt;$E$3</formula>
    </cfRule>
  </conditionalFormatting>
  <conditionalFormatting sqref="K10">
    <cfRule type="expression" dxfId="2088" priority="822">
      <formula>$E10=""</formula>
    </cfRule>
  </conditionalFormatting>
  <conditionalFormatting sqref="K10">
    <cfRule type="expression" dxfId="2087" priority="821">
      <formula>$E10=""</formula>
    </cfRule>
  </conditionalFormatting>
  <conditionalFormatting sqref="K10">
    <cfRule type="expression" dxfId="2086" priority="820">
      <formula>$C10&lt;$E$3</formula>
    </cfRule>
  </conditionalFormatting>
  <conditionalFormatting sqref="K10">
    <cfRule type="expression" dxfId="2085" priority="819">
      <formula>$E10=""</formula>
    </cfRule>
  </conditionalFormatting>
  <conditionalFormatting sqref="K10">
    <cfRule type="expression" dxfId="2084" priority="818">
      <formula>$C10&lt;$E$3</formula>
    </cfRule>
  </conditionalFormatting>
  <conditionalFormatting sqref="K10">
    <cfRule type="expression" dxfId="2083" priority="817">
      <formula>$E10=""</formula>
    </cfRule>
  </conditionalFormatting>
  <conditionalFormatting sqref="K10">
    <cfRule type="expression" dxfId="2082" priority="816">
      <formula>$C10&lt;$E$3</formula>
    </cfRule>
  </conditionalFormatting>
  <conditionalFormatting sqref="K10">
    <cfRule type="expression" dxfId="2081" priority="815">
      <formula>$E10=""</formula>
    </cfRule>
  </conditionalFormatting>
  <conditionalFormatting sqref="K10">
    <cfRule type="expression" dxfId="2080" priority="814">
      <formula>$C10&lt;$E$3</formula>
    </cfRule>
  </conditionalFormatting>
  <conditionalFormatting sqref="K10">
    <cfRule type="expression" dxfId="2079" priority="810">
      <formula>$C10=$E$3</formula>
    </cfRule>
    <cfRule type="expression" dxfId="2078" priority="811">
      <formula>$C10&lt;$E$3</formula>
    </cfRule>
    <cfRule type="cellIs" dxfId="2077" priority="812" operator="equal">
      <formula>0</formula>
    </cfRule>
    <cfRule type="expression" dxfId="2076" priority="813">
      <formula>$C10&gt;$E$3</formula>
    </cfRule>
  </conditionalFormatting>
  <conditionalFormatting sqref="K10">
    <cfRule type="expression" dxfId="2075" priority="809">
      <formula>$C10&lt;$E$3</formula>
    </cfRule>
  </conditionalFormatting>
  <conditionalFormatting sqref="K10">
    <cfRule type="expression" dxfId="2074" priority="805">
      <formula>$C10=$E$3</formula>
    </cfRule>
    <cfRule type="expression" dxfId="2073" priority="806">
      <formula>$C10&lt;$E$3</formula>
    </cfRule>
    <cfRule type="cellIs" dxfId="2072" priority="807" operator="equal">
      <formula>0</formula>
    </cfRule>
    <cfRule type="expression" dxfId="2071" priority="808">
      <formula>$C10&gt;$E$3</formula>
    </cfRule>
  </conditionalFormatting>
  <conditionalFormatting sqref="K10">
    <cfRule type="expression" dxfId="2070" priority="804">
      <formula>$C10&lt;$E$3</formula>
    </cfRule>
  </conditionalFormatting>
  <conditionalFormatting sqref="K10">
    <cfRule type="expression" dxfId="2069" priority="800">
      <formula>$C10=$E$3</formula>
    </cfRule>
    <cfRule type="expression" dxfId="2068" priority="801">
      <formula>$C10&lt;$E$3</formula>
    </cfRule>
    <cfRule type="cellIs" dxfId="2067" priority="802" operator="equal">
      <formula>0</formula>
    </cfRule>
    <cfRule type="expression" dxfId="2066" priority="803">
      <formula>$C10&gt;$E$3</formula>
    </cfRule>
  </conditionalFormatting>
  <conditionalFormatting sqref="K10">
    <cfRule type="expression" dxfId="2065" priority="799">
      <formula>$C10&lt;$E$3</formula>
    </cfRule>
  </conditionalFormatting>
  <conditionalFormatting sqref="K10">
    <cfRule type="expression" dxfId="2064" priority="795">
      <formula>$C10=$E$3</formula>
    </cfRule>
    <cfRule type="expression" dxfId="2063" priority="796">
      <formula>$C10&lt;$E$3</formula>
    </cfRule>
    <cfRule type="cellIs" dxfId="2062" priority="797" operator="equal">
      <formula>0</formula>
    </cfRule>
    <cfRule type="expression" dxfId="2061" priority="798">
      <formula>$C10&gt;$E$3</formula>
    </cfRule>
  </conditionalFormatting>
  <conditionalFormatting sqref="K10">
    <cfRule type="expression" dxfId="2060" priority="794">
      <formula>$E10=""</formula>
    </cfRule>
  </conditionalFormatting>
  <conditionalFormatting sqref="K10">
    <cfRule type="expression" dxfId="2059" priority="793">
      <formula>$C10&lt;$E$3</formula>
    </cfRule>
  </conditionalFormatting>
  <conditionalFormatting sqref="K10">
    <cfRule type="expression" dxfId="2058" priority="792">
      <formula>$E10=""</formula>
    </cfRule>
  </conditionalFormatting>
  <conditionalFormatting sqref="K10">
    <cfRule type="expression" dxfId="2057" priority="791">
      <formula>$E10=""</formula>
    </cfRule>
  </conditionalFormatting>
  <conditionalFormatting sqref="K10">
    <cfRule type="expression" dxfId="2056" priority="790">
      <formula>$C10&lt;$E$3</formula>
    </cfRule>
  </conditionalFormatting>
  <conditionalFormatting sqref="K10">
    <cfRule type="expression" dxfId="2055" priority="789">
      <formula>$E10=""</formula>
    </cfRule>
  </conditionalFormatting>
  <conditionalFormatting sqref="K10">
    <cfRule type="expression" dxfId="2054" priority="788">
      <formula>$C10&lt;$E$3</formula>
    </cfRule>
  </conditionalFormatting>
  <conditionalFormatting sqref="K10">
    <cfRule type="expression" dxfId="2053" priority="787">
      <formula>$E10=""</formula>
    </cfRule>
  </conditionalFormatting>
  <conditionalFormatting sqref="K10">
    <cfRule type="expression" dxfId="2052" priority="786">
      <formula>$C10&lt;$E$3</formula>
    </cfRule>
  </conditionalFormatting>
  <conditionalFormatting sqref="K10">
    <cfRule type="expression" dxfId="2051" priority="785">
      <formula>$E10=""</formula>
    </cfRule>
  </conditionalFormatting>
  <conditionalFormatting sqref="K5:K9">
    <cfRule type="expression" dxfId="2050" priority="784">
      <formula>$C5&lt;$E$3</formula>
    </cfRule>
  </conditionalFormatting>
  <conditionalFormatting sqref="K5:K9">
    <cfRule type="expression" dxfId="2049" priority="780">
      <formula>$C5=$E$3</formula>
    </cfRule>
    <cfRule type="expression" dxfId="2048" priority="781">
      <formula>$C5&lt;$E$3</formula>
    </cfRule>
    <cfRule type="cellIs" dxfId="2047" priority="782" operator="equal">
      <formula>0</formula>
    </cfRule>
    <cfRule type="expression" dxfId="2046" priority="783">
      <formula>$C5&gt;$E$3</formula>
    </cfRule>
  </conditionalFormatting>
  <conditionalFormatting sqref="K5:K9">
    <cfRule type="expression" dxfId="2045" priority="779">
      <formula>$C5&lt;$E$3</formula>
    </cfRule>
  </conditionalFormatting>
  <conditionalFormatting sqref="K5:K9">
    <cfRule type="expression" dxfId="2044" priority="775">
      <formula>$C5=$E$3</formula>
    </cfRule>
    <cfRule type="expression" dxfId="2043" priority="776">
      <formula>$C5&lt;$E$3</formula>
    </cfRule>
    <cfRule type="cellIs" dxfId="2042" priority="777" operator="equal">
      <formula>0</formula>
    </cfRule>
    <cfRule type="expression" dxfId="2041" priority="778">
      <formula>$C5&gt;$E$3</formula>
    </cfRule>
  </conditionalFormatting>
  <conditionalFormatting sqref="K5:K9">
    <cfRule type="expression" dxfId="2040" priority="774">
      <formula>$C5&lt;$E$3</formula>
    </cfRule>
  </conditionalFormatting>
  <conditionalFormatting sqref="K5:K9">
    <cfRule type="expression" dxfId="2039" priority="770">
      <formula>$C5=$E$3</formula>
    </cfRule>
    <cfRule type="expression" dxfId="2038" priority="771">
      <formula>$C5&lt;$E$3</formula>
    </cfRule>
    <cfRule type="cellIs" dxfId="2037" priority="772" operator="equal">
      <formula>0</formula>
    </cfRule>
    <cfRule type="expression" dxfId="2036" priority="773">
      <formula>$C5&gt;$E$3</formula>
    </cfRule>
  </conditionalFormatting>
  <conditionalFormatting sqref="K5:K9">
    <cfRule type="expression" dxfId="2035" priority="769">
      <formula>$C5&lt;$E$3</formula>
    </cfRule>
  </conditionalFormatting>
  <conditionalFormatting sqref="K5:K9">
    <cfRule type="expression" dxfId="2034" priority="765">
      <formula>$C5=$E$3</formula>
    </cfRule>
    <cfRule type="expression" dxfId="2033" priority="766">
      <formula>$C5&lt;$E$3</formula>
    </cfRule>
    <cfRule type="cellIs" dxfId="2032" priority="767" operator="equal">
      <formula>0</formula>
    </cfRule>
    <cfRule type="expression" dxfId="2031" priority="768">
      <formula>$C5&gt;$E$3</formula>
    </cfRule>
  </conditionalFormatting>
  <conditionalFormatting sqref="K5:K9">
    <cfRule type="expression" dxfId="2030" priority="764">
      <formula>$E5=""</formula>
    </cfRule>
  </conditionalFormatting>
  <conditionalFormatting sqref="K5:K9">
    <cfRule type="expression" dxfId="2029" priority="763">
      <formula>$C5&lt;$E$3</formula>
    </cfRule>
  </conditionalFormatting>
  <conditionalFormatting sqref="K5:K9">
    <cfRule type="expression" dxfId="2028" priority="762">
      <formula>$E5=""</formula>
    </cfRule>
  </conditionalFormatting>
  <conditionalFormatting sqref="K5:K9">
    <cfRule type="expression" dxfId="2027" priority="761">
      <formula>$E5=""</formula>
    </cfRule>
  </conditionalFormatting>
  <conditionalFormatting sqref="K5:K9">
    <cfRule type="expression" dxfId="2026" priority="760">
      <formula>$C5&lt;$E$3</formula>
    </cfRule>
  </conditionalFormatting>
  <conditionalFormatting sqref="K5:K9">
    <cfRule type="expression" dxfId="2025" priority="759">
      <formula>$E5=""</formula>
    </cfRule>
  </conditionalFormatting>
  <conditionalFormatting sqref="K5:K9">
    <cfRule type="expression" dxfId="2024" priority="758">
      <formula>$C5&lt;$E$3</formula>
    </cfRule>
  </conditionalFormatting>
  <conditionalFormatting sqref="K5:K9">
    <cfRule type="expression" dxfId="2023" priority="757">
      <formula>$E5=""</formula>
    </cfRule>
  </conditionalFormatting>
  <conditionalFormatting sqref="K5:K9">
    <cfRule type="expression" dxfId="2022" priority="756">
      <formula>$C5&lt;$E$3</formula>
    </cfRule>
  </conditionalFormatting>
  <conditionalFormatting sqref="K5:K9">
    <cfRule type="expression" dxfId="2021" priority="755">
      <formula>$E5=""</formula>
    </cfRule>
  </conditionalFormatting>
  <conditionalFormatting sqref="K5:K9">
    <cfRule type="expression" dxfId="2020" priority="754">
      <formula>$C5&lt;$E$3</formula>
    </cfRule>
  </conditionalFormatting>
  <conditionalFormatting sqref="K5:K9">
    <cfRule type="expression" dxfId="2019" priority="750">
      <formula>$C5=$E$3</formula>
    </cfRule>
    <cfRule type="expression" dxfId="2018" priority="751">
      <formula>$C5&lt;$E$3</formula>
    </cfRule>
    <cfRule type="cellIs" dxfId="2017" priority="752" operator="equal">
      <formula>0</formula>
    </cfRule>
    <cfRule type="expression" dxfId="2016" priority="753">
      <formula>$C5&gt;$E$3</formula>
    </cfRule>
  </conditionalFormatting>
  <conditionalFormatting sqref="K5:K9">
    <cfRule type="expression" dxfId="2015" priority="749">
      <formula>$C5&lt;$E$3</formula>
    </cfRule>
  </conditionalFormatting>
  <conditionalFormatting sqref="K5:K9">
    <cfRule type="expression" dxfId="2014" priority="745">
      <formula>$C5=$E$3</formula>
    </cfRule>
    <cfRule type="expression" dxfId="2013" priority="746">
      <formula>$C5&lt;$E$3</formula>
    </cfRule>
    <cfRule type="cellIs" dxfId="2012" priority="747" operator="equal">
      <formula>0</formula>
    </cfRule>
    <cfRule type="expression" dxfId="2011" priority="748">
      <formula>$C5&gt;$E$3</formula>
    </cfRule>
  </conditionalFormatting>
  <conditionalFormatting sqref="K5:K9">
    <cfRule type="expression" dxfId="2010" priority="744">
      <formula>$C5&lt;$E$3</formula>
    </cfRule>
  </conditionalFormatting>
  <conditionalFormatting sqref="K5:K9">
    <cfRule type="expression" dxfId="2009" priority="740">
      <formula>$C5=$E$3</formula>
    </cfRule>
    <cfRule type="expression" dxfId="2008" priority="741">
      <formula>$C5&lt;$E$3</formula>
    </cfRule>
    <cfRule type="cellIs" dxfId="2007" priority="742" operator="equal">
      <formula>0</formula>
    </cfRule>
    <cfRule type="expression" dxfId="2006" priority="743">
      <formula>$C5&gt;$E$3</formula>
    </cfRule>
  </conditionalFormatting>
  <conditionalFormatting sqref="K5:K9">
    <cfRule type="expression" dxfId="2005" priority="739">
      <formula>$C5&lt;$E$3</formula>
    </cfRule>
  </conditionalFormatting>
  <conditionalFormatting sqref="K5:K9">
    <cfRule type="expression" dxfId="2004" priority="735">
      <formula>$C5=$E$3</formula>
    </cfRule>
    <cfRule type="expression" dxfId="2003" priority="736">
      <formula>$C5&lt;$E$3</formula>
    </cfRule>
    <cfRule type="cellIs" dxfId="2002" priority="737" operator="equal">
      <formula>0</formula>
    </cfRule>
    <cfRule type="expression" dxfId="2001" priority="738">
      <formula>$C5&gt;$E$3</formula>
    </cfRule>
  </conditionalFormatting>
  <conditionalFormatting sqref="K5:K9">
    <cfRule type="expression" dxfId="2000" priority="734">
      <formula>$E5=""</formula>
    </cfRule>
  </conditionalFormatting>
  <conditionalFormatting sqref="K5:K9">
    <cfRule type="expression" dxfId="1999" priority="733">
      <formula>$C5&lt;$E$3</formula>
    </cfRule>
  </conditionalFormatting>
  <conditionalFormatting sqref="K5:K9">
    <cfRule type="expression" dxfId="1998" priority="732">
      <formula>$E5=""</formula>
    </cfRule>
  </conditionalFormatting>
  <conditionalFormatting sqref="K5:K9">
    <cfRule type="expression" dxfId="1997" priority="731">
      <formula>$E5=""</formula>
    </cfRule>
  </conditionalFormatting>
  <conditionalFormatting sqref="K5:K9">
    <cfRule type="expression" dxfId="1996" priority="729">
      <formula>$E5=""</formula>
    </cfRule>
  </conditionalFormatting>
  <conditionalFormatting sqref="K5:K9">
    <cfRule type="expression" dxfId="1995" priority="728">
      <formula>$C5&lt;$E$3</formula>
    </cfRule>
  </conditionalFormatting>
  <conditionalFormatting sqref="K5:K9">
    <cfRule type="expression" dxfId="1994" priority="727">
      <formula>$E5=""</formula>
    </cfRule>
  </conditionalFormatting>
  <conditionalFormatting sqref="K5:K9">
    <cfRule type="expression" dxfId="1993" priority="726">
      <formula>$C5&lt;$E$3</formula>
    </cfRule>
  </conditionalFormatting>
  <conditionalFormatting sqref="K5:K9">
    <cfRule type="expression" dxfId="1992" priority="725">
      <formula>$E5=""</formula>
    </cfRule>
  </conditionalFormatting>
  <conditionalFormatting sqref="K5:K11">
    <cfRule type="expression" dxfId="1991" priority="723">
      <formula>$C5&lt;$E$3</formula>
    </cfRule>
  </conditionalFormatting>
  <conditionalFormatting sqref="K5:K11">
    <cfRule type="expression" dxfId="1990" priority="720">
      <formula>$C5=$E$3</formula>
    </cfRule>
    <cfRule type="expression" dxfId="1989" priority="721">
      <formula>$C5&lt;$E$3</formula>
    </cfRule>
    <cfRule type="cellIs" dxfId="1988" priority="722" operator="equal">
      <formula>0</formula>
    </cfRule>
    <cfRule type="expression" dxfId="1987" priority="724">
      <formula>$C5&gt;$E$3</formula>
    </cfRule>
  </conditionalFormatting>
  <conditionalFormatting sqref="K5:K11">
    <cfRule type="expression" dxfId="1986" priority="719">
      <formula>$E5=""</formula>
    </cfRule>
  </conditionalFormatting>
  <conditionalFormatting sqref="K5:K11">
    <cfRule type="expression" dxfId="1985" priority="717">
      <formula>$E5=""</formula>
    </cfRule>
  </conditionalFormatting>
  <conditionalFormatting sqref="K50:K51">
    <cfRule type="expression" dxfId="1984" priority="715">
      <formula>$C50&lt;$E$3</formula>
    </cfRule>
  </conditionalFormatting>
  <conditionalFormatting sqref="K50:K51">
    <cfRule type="expression" dxfId="1983" priority="712">
      <formula>$C50=$E$3</formula>
    </cfRule>
    <cfRule type="expression" dxfId="1982" priority="713">
      <formula>$C50&lt;$E$3</formula>
    </cfRule>
    <cfRule type="cellIs" dxfId="1981" priority="714" operator="equal">
      <formula>0</formula>
    </cfRule>
    <cfRule type="expression" dxfId="1980" priority="716">
      <formula>$C50&gt;$E$3</formula>
    </cfRule>
  </conditionalFormatting>
  <conditionalFormatting sqref="K50:K51">
    <cfRule type="expression" dxfId="1979" priority="711">
      <formula>$E50=""</formula>
    </cfRule>
  </conditionalFormatting>
  <conditionalFormatting sqref="K50:K51">
    <cfRule type="expression" dxfId="1978" priority="710">
      <formula>$E50=""</formula>
    </cfRule>
  </conditionalFormatting>
  <conditionalFormatting sqref="K50:K51">
    <cfRule type="expression" dxfId="1977" priority="709">
      <formula>$E50=""</formula>
    </cfRule>
  </conditionalFormatting>
  <conditionalFormatting sqref="K50:K51">
    <cfRule type="cellIs" dxfId="1976" priority="708" stopIfTrue="1" operator="lessThan">
      <formula>0</formula>
    </cfRule>
  </conditionalFormatting>
  <conditionalFormatting sqref="K50:K51">
    <cfRule type="expression" dxfId="1975" priority="706">
      <formula>$C50&lt;$E$3</formula>
    </cfRule>
  </conditionalFormatting>
  <conditionalFormatting sqref="K50:K51">
    <cfRule type="expression" dxfId="1974" priority="703">
      <formula>$C50=$E$3</formula>
    </cfRule>
    <cfRule type="expression" dxfId="1973" priority="704">
      <formula>$C50&lt;$E$3</formula>
    </cfRule>
    <cfRule type="cellIs" dxfId="1972" priority="705" operator="equal">
      <formula>0</formula>
    </cfRule>
    <cfRule type="expression" dxfId="1971" priority="707">
      <formula>$C50&gt;$E$3</formula>
    </cfRule>
  </conditionalFormatting>
  <conditionalFormatting sqref="K50:K51">
    <cfRule type="expression" dxfId="1970" priority="702">
      <formula>$E50=""</formula>
    </cfRule>
  </conditionalFormatting>
  <conditionalFormatting sqref="K50:K51">
    <cfRule type="expression" dxfId="1969" priority="701">
      <formula>$E50=""</formula>
    </cfRule>
  </conditionalFormatting>
  <conditionalFormatting sqref="K50:K51">
    <cfRule type="expression" dxfId="1968" priority="700">
      <formula>$E50=""</formula>
    </cfRule>
  </conditionalFormatting>
  <conditionalFormatting sqref="K50:K51">
    <cfRule type="cellIs" dxfId="1967" priority="699" stopIfTrue="1" operator="lessThan">
      <formula>0</formula>
    </cfRule>
  </conditionalFormatting>
  <conditionalFormatting sqref="K50:K51">
    <cfRule type="cellIs" dxfId="1966" priority="698" stopIfTrue="1" operator="lessThan">
      <formula>0</formula>
    </cfRule>
  </conditionalFormatting>
  <conditionalFormatting sqref="K50:K51">
    <cfRule type="cellIs" dxfId="1965" priority="697" stopIfTrue="1" operator="lessThan">
      <formula>0</formula>
    </cfRule>
  </conditionalFormatting>
  <conditionalFormatting sqref="K50:K51">
    <cfRule type="cellIs" dxfId="1964" priority="696" stopIfTrue="1" operator="lessThan">
      <formula>0</formula>
    </cfRule>
  </conditionalFormatting>
  <conditionalFormatting sqref="K50:K51">
    <cfRule type="expression" dxfId="1963" priority="690">
      <formula>$C50&lt;$E$3</formula>
    </cfRule>
  </conditionalFormatting>
  <conditionalFormatting sqref="K50:K51">
    <cfRule type="expression" dxfId="1962" priority="686">
      <formula>$C50=$E$3</formula>
    </cfRule>
    <cfRule type="expression" dxfId="1961" priority="687">
      <formula>$C50&lt;$E$3</formula>
    </cfRule>
    <cfRule type="cellIs" dxfId="1960" priority="688" operator="equal">
      <formula>0</formula>
    </cfRule>
    <cfRule type="expression" dxfId="1959" priority="689">
      <formula>$C50&gt;$E$3</formula>
    </cfRule>
  </conditionalFormatting>
  <conditionalFormatting sqref="K50:K51">
    <cfRule type="expression" dxfId="1958" priority="685">
      <formula>$C50&lt;$E$3</formula>
    </cfRule>
  </conditionalFormatting>
  <conditionalFormatting sqref="K50:K51">
    <cfRule type="expression" dxfId="1957" priority="681">
      <formula>$C50=$E$3</formula>
    </cfRule>
    <cfRule type="expression" dxfId="1956" priority="682">
      <formula>$C50&lt;$E$3</formula>
    </cfRule>
    <cfRule type="cellIs" dxfId="1955" priority="683" operator="equal">
      <formula>0</formula>
    </cfRule>
    <cfRule type="expression" dxfId="1954" priority="684">
      <formula>$C50&gt;$E$3</formula>
    </cfRule>
  </conditionalFormatting>
  <conditionalFormatting sqref="K50:K51">
    <cfRule type="expression" dxfId="1953" priority="680">
      <formula>$C50&lt;$E$3</formula>
    </cfRule>
  </conditionalFormatting>
  <conditionalFormatting sqref="K50:K51">
    <cfRule type="expression" dxfId="1952" priority="676">
      <formula>$C50=$E$3</formula>
    </cfRule>
    <cfRule type="expression" dxfId="1951" priority="677">
      <formula>$C50&lt;$E$3</formula>
    </cfRule>
    <cfRule type="cellIs" dxfId="1950" priority="678" operator="equal">
      <formula>0</formula>
    </cfRule>
    <cfRule type="expression" dxfId="1949" priority="679">
      <formula>$C50&gt;$E$3</formula>
    </cfRule>
  </conditionalFormatting>
  <conditionalFormatting sqref="K50:K51">
    <cfRule type="expression" dxfId="1948" priority="674">
      <formula>$C50&lt;$E$3</formula>
    </cfRule>
  </conditionalFormatting>
  <conditionalFormatting sqref="K50:K51">
    <cfRule type="expression" dxfId="1947" priority="673">
      <formula>$E50=""</formula>
    </cfRule>
  </conditionalFormatting>
  <conditionalFormatting sqref="K50:K51">
    <cfRule type="expression" dxfId="1946" priority="672">
      <formula>$E50=""</formula>
    </cfRule>
  </conditionalFormatting>
  <conditionalFormatting sqref="K50:K51">
    <cfRule type="expression" dxfId="1945" priority="671">
      <formula>$C50&lt;$E$3</formula>
    </cfRule>
  </conditionalFormatting>
  <conditionalFormatting sqref="K50:K51">
    <cfRule type="expression" dxfId="1944" priority="670">
      <formula>$E50=""</formula>
    </cfRule>
  </conditionalFormatting>
  <conditionalFormatting sqref="K50:K51">
    <cfRule type="expression" dxfId="1943" priority="669">
      <formula>$C50&lt;$E$3</formula>
    </cfRule>
  </conditionalFormatting>
  <conditionalFormatting sqref="K50:K51">
    <cfRule type="expression" dxfId="1942" priority="668">
      <formula>$E50=""</formula>
    </cfRule>
  </conditionalFormatting>
  <conditionalFormatting sqref="K50:K51">
    <cfRule type="expression" dxfId="1941" priority="667">
      <formula>$C50&lt;$E$3</formula>
    </cfRule>
  </conditionalFormatting>
  <conditionalFormatting sqref="K50:K51">
    <cfRule type="expression" dxfId="1940" priority="666">
      <formula>$E50=""</formula>
    </cfRule>
  </conditionalFormatting>
  <conditionalFormatting sqref="K50:K51">
    <cfRule type="expression" dxfId="1939" priority="665">
      <formula>$C50&lt;$E$3</formula>
    </cfRule>
  </conditionalFormatting>
  <conditionalFormatting sqref="K50:K51">
    <cfRule type="expression" dxfId="1938" priority="661">
      <formula>$C50=$E$3</formula>
    </cfRule>
    <cfRule type="expression" dxfId="1937" priority="662">
      <formula>$C50&lt;$E$3</formula>
    </cfRule>
    <cfRule type="cellIs" dxfId="1936" priority="663" operator="equal">
      <formula>0</formula>
    </cfRule>
    <cfRule type="expression" dxfId="1935" priority="664">
      <formula>$C50&gt;$E$3</formula>
    </cfRule>
  </conditionalFormatting>
  <conditionalFormatting sqref="K50:K51">
    <cfRule type="expression" dxfId="1934" priority="660">
      <formula>$C50&lt;$E$3</formula>
    </cfRule>
  </conditionalFormatting>
  <conditionalFormatting sqref="K50:K51">
    <cfRule type="expression" dxfId="1933" priority="656">
      <formula>$C50=$E$3</formula>
    </cfRule>
    <cfRule type="expression" dxfId="1932" priority="657">
      <formula>$C50&lt;$E$3</formula>
    </cfRule>
    <cfRule type="cellIs" dxfId="1931" priority="658" operator="equal">
      <formula>0</formula>
    </cfRule>
    <cfRule type="expression" dxfId="1930" priority="659">
      <formula>$C50&gt;$E$3</formula>
    </cfRule>
  </conditionalFormatting>
  <conditionalFormatting sqref="K50:K51">
    <cfRule type="expression" dxfId="1929" priority="655">
      <formula>$C50&lt;$E$3</formula>
    </cfRule>
  </conditionalFormatting>
  <conditionalFormatting sqref="K50:K51">
    <cfRule type="expression" dxfId="1928" priority="651">
      <formula>$C50=$E$3</formula>
    </cfRule>
    <cfRule type="expression" dxfId="1927" priority="652">
      <formula>$C50&lt;$E$3</formula>
    </cfRule>
    <cfRule type="cellIs" dxfId="1926" priority="653" operator="equal">
      <formula>0</formula>
    </cfRule>
    <cfRule type="expression" dxfId="1925" priority="654">
      <formula>$C50&gt;$E$3</formula>
    </cfRule>
  </conditionalFormatting>
  <conditionalFormatting sqref="K50:K51">
    <cfRule type="expression" dxfId="1924" priority="650">
      <formula>$C50&lt;$E$3</formula>
    </cfRule>
  </conditionalFormatting>
  <conditionalFormatting sqref="K50:K51">
    <cfRule type="expression" dxfId="1923" priority="646">
      <formula>$C50=$E$3</formula>
    </cfRule>
    <cfRule type="expression" dxfId="1922" priority="647">
      <formula>$C50&lt;$E$3</formula>
    </cfRule>
    <cfRule type="cellIs" dxfId="1921" priority="648" operator="equal">
      <formula>0</formula>
    </cfRule>
    <cfRule type="expression" dxfId="1920" priority="649">
      <formula>$C50&gt;$E$3</formula>
    </cfRule>
  </conditionalFormatting>
  <conditionalFormatting sqref="K50:K51">
    <cfRule type="expression" dxfId="1919" priority="645">
      <formula>$E50=""</formula>
    </cfRule>
  </conditionalFormatting>
  <conditionalFormatting sqref="K50:K51">
    <cfRule type="expression" dxfId="1918" priority="644">
      <formula>$C50&lt;$E$3</formula>
    </cfRule>
  </conditionalFormatting>
  <conditionalFormatting sqref="K50:K51">
    <cfRule type="expression" dxfId="1917" priority="643">
      <formula>$E50=""</formula>
    </cfRule>
  </conditionalFormatting>
  <conditionalFormatting sqref="K50:K51">
    <cfRule type="expression" dxfId="1916" priority="642">
      <formula>$E50=""</formula>
    </cfRule>
  </conditionalFormatting>
  <conditionalFormatting sqref="K50:K51">
    <cfRule type="expression" dxfId="1915" priority="641">
      <formula>$C50&lt;$E$3</formula>
    </cfRule>
  </conditionalFormatting>
  <conditionalFormatting sqref="K50:K51">
    <cfRule type="expression" dxfId="1914" priority="640">
      <formula>$E50=""</formula>
    </cfRule>
  </conditionalFormatting>
  <conditionalFormatting sqref="K50:K51">
    <cfRule type="expression" dxfId="1913" priority="639">
      <formula>$C50&lt;$E$3</formula>
    </cfRule>
  </conditionalFormatting>
  <conditionalFormatting sqref="K50:K51">
    <cfRule type="expression" dxfId="1912" priority="638">
      <formula>$E50=""</formula>
    </cfRule>
  </conditionalFormatting>
  <conditionalFormatting sqref="K50:K51">
    <cfRule type="expression" dxfId="1911" priority="637">
      <formula>$C50&lt;$E$3</formula>
    </cfRule>
  </conditionalFormatting>
  <conditionalFormatting sqref="K50:K51">
    <cfRule type="expression" dxfId="1910" priority="636">
      <formula>$E50=""</formula>
    </cfRule>
  </conditionalFormatting>
  <conditionalFormatting sqref="K50:K51">
    <cfRule type="expression" dxfId="1909" priority="634">
      <formula>$C50&lt;$E$3</formula>
    </cfRule>
  </conditionalFormatting>
  <conditionalFormatting sqref="K50:K51">
    <cfRule type="expression" dxfId="1908" priority="631">
      <formula>$C50=$E$3</formula>
    </cfRule>
    <cfRule type="expression" dxfId="1907" priority="632">
      <formula>$C50&lt;$E$3</formula>
    </cfRule>
    <cfRule type="cellIs" dxfId="1906" priority="633" operator="equal">
      <formula>0</formula>
    </cfRule>
    <cfRule type="expression" dxfId="1905" priority="635">
      <formula>$C50&gt;$E$3</formula>
    </cfRule>
  </conditionalFormatting>
  <conditionalFormatting sqref="K50:K51">
    <cfRule type="expression" dxfId="1904" priority="630">
      <formula>$E50=""</formula>
    </cfRule>
  </conditionalFormatting>
  <conditionalFormatting sqref="K50:K51">
    <cfRule type="expression" dxfId="1903" priority="629">
      <formula>$E50=""</formula>
    </cfRule>
  </conditionalFormatting>
  <conditionalFormatting sqref="K50:K51">
    <cfRule type="expression" dxfId="1902" priority="628">
      <formula>$E50=""</formula>
    </cfRule>
  </conditionalFormatting>
  <conditionalFormatting sqref="N5:N6 N9">
    <cfRule type="cellIs" dxfId="1901" priority="627" stopIfTrue="1" operator="lessThan">
      <formula>0</formula>
    </cfRule>
  </conditionalFormatting>
  <conditionalFormatting sqref="J14:J20 L14:M20 J41:J47 L32:M38 L41:M47 J23:J29 J32:J38 L23:M29">
    <cfRule type="cellIs" dxfId="1900" priority="626" stopIfTrue="1" operator="lessThan">
      <formula>0</formula>
    </cfRule>
  </conditionalFormatting>
  <conditionalFormatting sqref="J14:J20 J41:J47 L14:M20 L32:M38 L41:M47 J23:J29 J32:J38 L23:M29">
    <cfRule type="expression" dxfId="1899" priority="621">
      <formula>$C14=$E$3</formula>
    </cfRule>
    <cfRule type="expression" dxfId="1898" priority="622">
      <formula>$C14&lt;$E$3</formula>
    </cfRule>
    <cfRule type="cellIs" dxfId="1897" priority="623" operator="equal">
      <formula>0</formula>
    </cfRule>
    <cfRule type="expression" dxfId="1896" priority="625">
      <formula>$C14&gt;$E$3</formula>
    </cfRule>
  </conditionalFormatting>
  <conditionalFormatting sqref="J14:J20 J41:J47 L14:M20 L32:M38 L41:M47 J23:J29 J32:J38 L23:M29">
    <cfRule type="expression" dxfId="1895" priority="620">
      <formula>$E14=""</formula>
    </cfRule>
  </conditionalFormatting>
  <conditionalFormatting sqref="J41:J47 J14:J20 L14:M20 L32:M38 L41:M47 J23:J29 J32:J38 L23:M29">
    <cfRule type="expression" dxfId="1894" priority="619">
      <formula>$E14=""</formula>
    </cfRule>
  </conditionalFormatting>
  <conditionalFormatting sqref="J41:J47 J14:J20 L14:M20 L32:M38 L41:M47 J23:J29 J32:J38 L23:M29">
    <cfRule type="expression" dxfId="1893" priority="618">
      <formula>$E14=""</formula>
    </cfRule>
  </conditionalFormatting>
  <conditionalFormatting sqref="M14:M20 M32:M38 M41:M47 M23:M29">
    <cfRule type="expression" dxfId="1892" priority="613">
      <formula>$C14=$E$3</formula>
    </cfRule>
    <cfRule type="expression" dxfId="1891" priority="614">
      <formula>$C14&lt;$E$3</formula>
    </cfRule>
    <cfRule type="cellIs" dxfId="1890" priority="615" operator="equal">
      <formula>0</formula>
    </cfRule>
    <cfRule type="expression" dxfId="1889" priority="616">
      <formula>$C14&gt;$E$3</formula>
    </cfRule>
  </conditionalFormatting>
  <conditionalFormatting sqref="M14:M20 M32:M38 M41:M47 M23:M29">
    <cfRule type="expression" dxfId="1888" priority="612">
      <formula>$C14&lt;$E$3</formula>
    </cfRule>
  </conditionalFormatting>
  <conditionalFormatting sqref="M14:M20 M32:M38 M41:M47 M23:M29">
    <cfRule type="expression" dxfId="1887" priority="608">
      <formula>$C14=$E$3</formula>
    </cfRule>
    <cfRule type="expression" dxfId="1886" priority="609">
      <formula>$C14&lt;$E$3</formula>
    </cfRule>
    <cfRule type="cellIs" dxfId="1885" priority="610" operator="equal">
      <formula>0</formula>
    </cfRule>
    <cfRule type="expression" dxfId="1884" priority="611">
      <formula>$C14&gt;$E$3</formula>
    </cfRule>
  </conditionalFormatting>
  <conditionalFormatting sqref="M14:M20 M32:M38 M41:M47 M23:M29">
    <cfRule type="expression" dxfId="1883" priority="607">
      <formula>$C14&lt;$E$3</formula>
    </cfRule>
  </conditionalFormatting>
  <conditionalFormatting sqref="M14:M20 M32:M38 M41:M47 M23:M29">
    <cfRule type="expression" dxfId="1882" priority="603">
      <formula>$C14=$E$3</formula>
    </cfRule>
    <cfRule type="expression" dxfId="1881" priority="604">
      <formula>$C14&lt;$E$3</formula>
    </cfRule>
    <cfRule type="cellIs" dxfId="1880" priority="605" operator="equal">
      <formula>0</formula>
    </cfRule>
    <cfRule type="expression" dxfId="1879" priority="606">
      <formula>$C14&gt;$E$3</formula>
    </cfRule>
  </conditionalFormatting>
  <conditionalFormatting sqref="M14:M20 M32:M38 M41:M47 M23:M29">
    <cfRule type="expression" dxfId="1878" priority="602">
      <formula>$C14&lt;$E$3</formula>
    </cfRule>
  </conditionalFormatting>
  <conditionalFormatting sqref="M14:M20 M32:M38 M41:M47 M23:M29">
    <cfRule type="expression" dxfId="1877" priority="598">
      <formula>$C14=$E$3</formula>
    </cfRule>
    <cfRule type="expression" dxfId="1876" priority="599">
      <formula>$C14&lt;$E$3</formula>
    </cfRule>
    <cfRule type="cellIs" dxfId="1875" priority="600" operator="equal">
      <formula>0</formula>
    </cfRule>
    <cfRule type="expression" dxfId="1874" priority="601">
      <formula>$C14&gt;$E$3</formula>
    </cfRule>
  </conditionalFormatting>
  <conditionalFormatting sqref="M14:M20 M32:M38 M41:M47 M23:M29">
    <cfRule type="expression" dxfId="1873" priority="597">
      <formula>$E14=""</formula>
    </cfRule>
  </conditionalFormatting>
  <conditionalFormatting sqref="M14:M20 M32:M38 M41:M47 M23:M29">
    <cfRule type="expression" dxfId="1872" priority="596">
      <formula>$C14&lt;$E$3</formula>
    </cfRule>
  </conditionalFormatting>
  <conditionalFormatting sqref="M14:M20 M32:M38 M41:M47 M23:M29">
    <cfRule type="expression" dxfId="1871" priority="595">
      <formula>$E14=""</formula>
    </cfRule>
  </conditionalFormatting>
  <conditionalFormatting sqref="M32:M38 M41:M47 M14:M20 M23:M29">
    <cfRule type="expression" dxfId="1870" priority="594">
      <formula>$E14=""</formula>
    </cfRule>
  </conditionalFormatting>
  <conditionalFormatting sqref="M14:M20 M32:M38 M41:M47 M23:M29">
    <cfRule type="expression" dxfId="1869" priority="593">
      <formula>$C14&lt;$E$3</formula>
    </cfRule>
  </conditionalFormatting>
  <conditionalFormatting sqref="M14:M20 M32:M38 M41:M47 M23:M29">
    <cfRule type="expression" dxfId="1868" priority="592">
      <formula>$E14=""</formula>
    </cfRule>
  </conditionalFormatting>
  <conditionalFormatting sqref="M14:M20 M32:M38 M41:M47 M23:M29">
    <cfRule type="expression" dxfId="1867" priority="588">
      <formula>$E14=""</formula>
    </cfRule>
  </conditionalFormatting>
  <conditionalFormatting sqref="M14:M20 M32:M38 M41:M47 M23:M29">
    <cfRule type="expression" dxfId="1866" priority="583">
      <formula>$C14=$E$3</formula>
    </cfRule>
    <cfRule type="expression" dxfId="1865" priority="584">
      <formula>$C14&lt;$E$3</formula>
    </cfRule>
    <cfRule type="cellIs" dxfId="1864" priority="585" operator="equal">
      <formula>0</formula>
    </cfRule>
    <cfRule type="expression" dxfId="1863" priority="586">
      <formula>$C14&gt;$E$3</formula>
    </cfRule>
  </conditionalFormatting>
  <conditionalFormatting sqref="M14:M20 M32:M38 M41:M47 M23:M29">
    <cfRule type="expression" dxfId="1862" priority="578">
      <formula>$C14=$E$3</formula>
    </cfRule>
    <cfRule type="expression" dxfId="1861" priority="579">
      <formula>$C14&lt;$E$3</formula>
    </cfRule>
    <cfRule type="cellIs" dxfId="1860" priority="580" operator="equal">
      <formula>0</formula>
    </cfRule>
    <cfRule type="expression" dxfId="1859" priority="581">
      <formula>$C14&gt;$E$3</formula>
    </cfRule>
  </conditionalFormatting>
  <conditionalFormatting sqref="M14:M20 M32:M38 M41:M47 M23:M29">
    <cfRule type="expression" dxfId="1858" priority="577">
      <formula>$C14&lt;$E$3</formula>
    </cfRule>
  </conditionalFormatting>
  <conditionalFormatting sqref="M14:M20 M32:M38 M41:M47 M23:M29">
    <cfRule type="expression" dxfId="1857" priority="573">
      <formula>$C14=$E$3</formula>
    </cfRule>
    <cfRule type="expression" dxfId="1856" priority="574">
      <formula>$C14&lt;$E$3</formula>
    </cfRule>
    <cfRule type="cellIs" dxfId="1855" priority="575" operator="equal">
      <formula>0</formula>
    </cfRule>
    <cfRule type="expression" dxfId="1854" priority="576">
      <formula>$C14&gt;$E$3</formula>
    </cfRule>
  </conditionalFormatting>
  <conditionalFormatting sqref="M14:M20 M32:M38 M41:M47 M23:M29">
    <cfRule type="expression" dxfId="1853" priority="572">
      <formula>$C14&lt;$E$3</formula>
    </cfRule>
  </conditionalFormatting>
  <conditionalFormatting sqref="M14:M20 M32:M38 M41:M47 M23:M29">
    <cfRule type="expression" dxfId="1852" priority="568">
      <formula>$C14=$E$3</formula>
    </cfRule>
    <cfRule type="expression" dxfId="1851" priority="569">
      <formula>$C14&lt;$E$3</formula>
    </cfRule>
    <cfRule type="cellIs" dxfId="1850" priority="570" operator="equal">
      <formula>0</formula>
    </cfRule>
    <cfRule type="expression" dxfId="1849" priority="571">
      <formula>$C14&gt;$E$3</formula>
    </cfRule>
  </conditionalFormatting>
  <conditionalFormatting sqref="M14:M20 M32:M38 M41:M47 M23:M29">
    <cfRule type="expression" dxfId="1848" priority="567">
      <formula>$E14=""</formula>
    </cfRule>
  </conditionalFormatting>
  <conditionalFormatting sqref="M14:M20 M32:M38 M41:M47 M23:M29">
    <cfRule type="expression" dxfId="1847" priority="566">
      <formula>$C14&lt;$E$3</formula>
    </cfRule>
  </conditionalFormatting>
  <conditionalFormatting sqref="M14:M20 M32:M38 M41:M47 M23:M29">
    <cfRule type="expression" dxfId="1846" priority="565">
      <formula>$E14=""</formula>
    </cfRule>
  </conditionalFormatting>
  <conditionalFormatting sqref="M32:M38 M41:M47 M14:M20 M23:M29">
    <cfRule type="expression" dxfId="1845" priority="564">
      <formula>$E14=""</formula>
    </cfRule>
  </conditionalFormatting>
  <conditionalFormatting sqref="M14:M20 M32:M38 M41:M47 M23:M29">
    <cfRule type="expression" dxfId="1844" priority="563">
      <formula>$C14&lt;$E$3</formula>
    </cfRule>
  </conditionalFormatting>
  <conditionalFormatting sqref="M14:M20 M32:M38 M41:M47 M23:M29">
    <cfRule type="expression" dxfId="1843" priority="562">
      <formula>$E14=""</formula>
    </cfRule>
  </conditionalFormatting>
  <conditionalFormatting sqref="M14:M20 M32:M38 M41:M47 M23:M29">
    <cfRule type="expression" dxfId="1842" priority="561">
      <formula>$C14&lt;$E$3</formula>
    </cfRule>
  </conditionalFormatting>
  <conditionalFormatting sqref="M14:M20 M32:M38 M41:M47 M23:M29">
    <cfRule type="expression" dxfId="1841" priority="560">
      <formula>$E14=""</formula>
    </cfRule>
  </conditionalFormatting>
  <conditionalFormatting sqref="M14:M20 M32:M38 M41:M47 M23:M29">
    <cfRule type="expression" dxfId="1840" priority="559">
      <formula>$C14&lt;$E$3</formula>
    </cfRule>
  </conditionalFormatting>
  <conditionalFormatting sqref="M14:M20 M32:M38 M41:M47 M23:M29">
    <cfRule type="expression" dxfId="1839" priority="558">
      <formula>$E14=""</formula>
    </cfRule>
  </conditionalFormatting>
  <conditionalFormatting sqref="K37">
    <cfRule type="expression" dxfId="1838" priority="263">
      <formula>$C37&lt;$E$3</formula>
    </cfRule>
  </conditionalFormatting>
  <conditionalFormatting sqref="K37">
    <cfRule type="expression" dxfId="1837" priority="259">
      <formula>$C37=$E$3</formula>
    </cfRule>
    <cfRule type="expression" dxfId="1836" priority="260">
      <formula>$C37&lt;$E$3</formula>
    </cfRule>
    <cfRule type="cellIs" dxfId="1835" priority="261" operator="equal">
      <formula>0</formula>
    </cfRule>
    <cfRule type="expression" dxfId="1834" priority="262">
      <formula>$C37&gt;$E$3</formula>
    </cfRule>
  </conditionalFormatting>
  <conditionalFormatting sqref="K37">
    <cfRule type="expression" dxfId="1833" priority="258">
      <formula>$C37&lt;$E$3</formula>
    </cfRule>
  </conditionalFormatting>
  <conditionalFormatting sqref="K37">
    <cfRule type="expression" dxfId="1832" priority="254">
      <formula>$C37=$E$3</formula>
    </cfRule>
    <cfRule type="expression" dxfId="1831" priority="255">
      <formula>$C37&lt;$E$3</formula>
    </cfRule>
    <cfRule type="cellIs" dxfId="1830" priority="256" operator="equal">
      <formula>0</formula>
    </cfRule>
    <cfRule type="expression" dxfId="1829" priority="257">
      <formula>$C37&gt;$E$3</formula>
    </cfRule>
  </conditionalFormatting>
  <conditionalFormatting sqref="K37">
    <cfRule type="expression" dxfId="1828" priority="233">
      <formula>$C37&lt;$E$3</formula>
    </cfRule>
  </conditionalFormatting>
  <conditionalFormatting sqref="K37">
    <cfRule type="expression" dxfId="1827" priority="229">
      <formula>$C37=$E$3</formula>
    </cfRule>
    <cfRule type="expression" dxfId="1826" priority="230">
      <formula>$C37&lt;$E$3</formula>
    </cfRule>
    <cfRule type="cellIs" dxfId="1825" priority="231" operator="equal">
      <formula>0</formula>
    </cfRule>
    <cfRule type="expression" dxfId="1824" priority="232">
      <formula>$C37&gt;$E$3</formula>
    </cfRule>
  </conditionalFormatting>
  <conditionalFormatting sqref="K37">
    <cfRule type="expression" dxfId="1823" priority="228">
      <formula>$C37&lt;$E$3</formula>
    </cfRule>
  </conditionalFormatting>
  <conditionalFormatting sqref="K37">
    <cfRule type="expression" dxfId="1822" priority="224">
      <formula>$C37=$E$3</formula>
    </cfRule>
    <cfRule type="expression" dxfId="1821" priority="225">
      <formula>$C37&lt;$E$3</formula>
    </cfRule>
    <cfRule type="cellIs" dxfId="1820" priority="226" operator="equal">
      <formula>0</formula>
    </cfRule>
    <cfRule type="expression" dxfId="1819" priority="227">
      <formula>$C37&gt;$E$3</formula>
    </cfRule>
  </conditionalFormatting>
  <conditionalFormatting sqref="K32:K36">
    <cfRule type="expression" dxfId="1818" priority="203">
      <formula>$C32&lt;$E$3</formula>
    </cfRule>
  </conditionalFormatting>
  <conditionalFormatting sqref="K32:K36">
    <cfRule type="expression" dxfId="1817" priority="199">
      <formula>$C32=$E$3</formula>
    </cfRule>
    <cfRule type="expression" dxfId="1816" priority="200">
      <formula>$C32&lt;$E$3</formula>
    </cfRule>
    <cfRule type="cellIs" dxfId="1815" priority="201" operator="equal">
      <formula>0</formula>
    </cfRule>
    <cfRule type="expression" dxfId="1814" priority="202">
      <formula>$C32&gt;$E$3</formula>
    </cfRule>
  </conditionalFormatting>
  <conditionalFormatting sqref="K32:K36">
    <cfRule type="expression" dxfId="1813" priority="198">
      <formula>$C32&lt;$E$3</formula>
    </cfRule>
  </conditionalFormatting>
  <conditionalFormatting sqref="K32:K36">
    <cfRule type="expression" dxfId="1812" priority="194">
      <formula>$C32=$E$3</formula>
    </cfRule>
    <cfRule type="expression" dxfId="1811" priority="195">
      <formula>$C32&lt;$E$3</formula>
    </cfRule>
    <cfRule type="cellIs" dxfId="1810" priority="196" operator="equal">
      <formula>0</formula>
    </cfRule>
    <cfRule type="expression" dxfId="1809" priority="197">
      <formula>$C32&gt;$E$3</formula>
    </cfRule>
  </conditionalFormatting>
  <conditionalFormatting sqref="J39:N40">
    <cfRule type="expression" dxfId="1808" priority="557">
      <formula>$L$40=0</formula>
    </cfRule>
  </conditionalFormatting>
  <conditionalFormatting sqref="K14:K20">
    <cfRule type="cellIs" dxfId="1807" priority="556" stopIfTrue="1" operator="lessThan">
      <formula>0</formula>
    </cfRule>
  </conditionalFormatting>
  <conditionalFormatting sqref="K14:K20">
    <cfRule type="expression" dxfId="1806" priority="551">
      <formula>$C14=$E$3</formula>
    </cfRule>
    <cfRule type="expression" dxfId="1805" priority="552">
      <formula>$C14&lt;$E$3</formula>
    </cfRule>
    <cfRule type="cellIs" dxfId="1804" priority="553" operator="equal">
      <formula>0</formula>
    </cfRule>
    <cfRule type="expression" dxfId="1803" priority="555">
      <formula>$C14&gt;$E$3</formula>
    </cfRule>
  </conditionalFormatting>
  <conditionalFormatting sqref="K14:K20">
    <cfRule type="expression" dxfId="1802" priority="550">
      <formula>$E14=""</formula>
    </cfRule>
  </conditionalFormatting>
  <conditionalFormatting sqref="K14:K20">
    <cfRule type="expression" dxfId="1801" priority="549">
      <formula>$E14=""</formula>
    </cfRule>
  </conditionalFormatting>
  <conditionalFormatting sqref="K19">
    <cfRule type="expression" dxfId="1800" priority="543">
      <formula>$C19=$E$3</formula>
    </cfRule>
    <cfRule type="expression" dxfId="1799" priority="544">
      <formula>$C19&lt;$E$3</formula>
    </cfRule>
    <cfRule type="cellIs" dxfId="1798" priority="545" operator="equal">
      <formula>0</formula>
    </cfRule>
    <cfRule type="expression" dxfId="1797" priority="546">
      <formula>$C19&gt;$E$3</formula>
    </cfRule>
  </conditionalFormatting>
  <conditionalFormatting sqref="K19">
    <cfRule type="expression" dxfId="1796" priority="542">
      <formula>$C19&lt;$E$3</formula>
    </cfRule>
  </conditionalFormatting>
  <conditionalFormatting sqref="K19">
    <cfRule type="expression" dxfId="1795" priority="538">
      <formula>$C19=$E$3</formula>
    </cfRule>
    <cfRule type="expression" dxfId="1794" priority="539">
      <formula>$C19&lt;$E$3</formula>
    </cfRule>
    <cfRule type="cellIs" dxfId="1793" priority="540" operator="equal">
      <formula>0</formula>
    </cfRule>
    <cfRule type="expression" dxfId="1792" priority="541">
      <formula>$C19&gt;$E$3</formula>
    </cfRule>
  </conditionalFormatting>
  <conditionalFormatting sqref="K19">
    <cfRule type="expression" dxfId="1791" priority="537">
      <formula>$C19&lt;$E$3</formula>
    </cfRule>
  </conditionalFormatting>
  <conditionalFormatting sqref="K19">
    <cfRule type="expression" dxfId="1790" priority="533">
      <formula>$C19=$E$3</formula>
    </cfRule>
    <cfRule type="expression" dxfId="1789" priority="534">
      <formula>$C19&lt;$E$3</formula>
    </cfRule>
    <cfRule type="cellIs" dxfId="1788" priority="535" operator="equal">
      <formula>0</formula>
    </cfRule>
    <cfRule type="expression" dxfId="1787" priority="536">
      <formula>$C19&gt;$E$3</formula>
    </cfRule>
  </conditionalFormatting>
  <conditionalFormatting sqref="K19">
    <cfRule type="expression" dxfId="1786" priority="532">
      <formula>$C19&lt;$E$3</formula>
    </cfRule>
  </conditionalFormatting>
  <conditionalFormatting sqref="K19">
    <cfRule type="expression" dxfId="1785" priority="528">
      <formula>$C19=$E$3</formula>
    </cfRule>
    <cfRule type="expression" dxfId="1784" priority="529">
      <formula>$C19&lt;$E$3</formula>
    </cfRule>
    <cfRule type="cellIs" dxfId="1783" priority="530" operator="equal">
      <formula>0</formula>
    </cfRule>
    <cfRule type="expression" dxfId="1782" priority="531">
      <formula>$C19&gt;$E$3</formula>
    </cfRule>
  </conditionalFormatting>
  <conditionalFormatting sqref="K19">
    <cfRule type="expression" dxfId="1781" priority="527">
      <formula>$E19=""</formula>
    </cfRule>
  </conditionalFormatting>
  <conditionalFormatting sqref="K19">
    <cfRule type="expression" dxfId="1780" priority="526">
      <formula>$C19&lt;$E$3</formula>
    </cfRule>
  </conditionalFormatting>
  <conditionalFormatting sqref="K19">
    <cfRule type="expression" dxfId="1779" priority="525">
      <formula>$E19=""</formula>
    </cfRule>
  </conditionalFormatting>
  <conditionalFormatting sqref="K19">
    <cfRule type="expression" dxfId="1778" priority="524">
      <formula>$E19=""</formula>
    </cfRule>
  </conditionalFormatting>
  <conditionalFormatting sqref="K19">
    <cfRule type="expression" dxfId="1777" priority="523">
      <formula>$C19&lt;$E$3</formula>
    </cfRule>
  </conditionalFormatting>
  <conditionalFormatting sqref="K19">
    <cfRule type="expression" dxfId="1776" priority="522">
      <formula>$E19=""</formula>
    </cfRule>
  </conditionalFormatting>
  <conditionalFormatting sqref="K19">
    <cfRule type="expression" dxfId="1775" priority="518">
      <formula>$E19=""</formula>
    </cfRule>
  </conditionalFormatting>
  <conditionalFormatting sqref="K19">
    <cfRule type="expression" dxfId="1774" priority="513">
      <formula>$C19=$E$3</formula>
    </cfRule>
    <cfRule type="expression" dxfId="1773" priority="514">
      <formula>$C19&lt;$E$3</formula>
    </cfRule>
    <cfRule type="cellIs" dxfId="1772" priority="515" operator="equal">
      <formula>0</formula>
    </cfRule>
    <cfRule type="expression" dxfId="1771" priority="516">
      <formula>$C19&gt;$E$3</formula>
    </cfRule>
  </conditionalFormatting>
  <conditionalFormatting sqref="K19">
    <cfRule type="expression" dxfId="1770" priority="512">
      <formula>$C19&lt;$E$3</formula>
    </cfRule>
  </conditionalFormatting>
  <conditionalFormatting sqref="K19">
    <cfRule type="expression" dxfId="1769" priority="508">
      <formula>$C19=$E$3</formula>
    </cfRule>
    <cfRule type="expression" dxfId="1768" priority="509">
      <formula>$C19&lt;$E$3</formula>
    </cfRule>
    <cfRule type="cellIs" dxfId="1767" priority="510" operator="equal">
      <formula>0</formula>
    </cfRule>
    <cfRule type="expression" dxfId="1766" priority="511">
      <formula>$C19&gt;$E$3</formula>
    </cfRule>
  </conditionalFormatting>
  <conditionalFormatting sqref="K19">
    <cfRule type="expression" dxfId="1765" priority="507">
      <formula>$C19&lt;$E$3</formula>
    </cfRule>
  </conditionalFormatting>
  <conditionalFormatting sqref="K19">
    <cfRule type="expression" dxfId="1764" priority="503">
      <formula>$C19=$E$3</formula>
    </cfRule>
    <cfRule type="expression" dxfId="1763" priority="504">
      <formula>$C19&lt;$E$3</formula>
    </cfRule>
    <cfRule type="cellIs" dxfId="1762" priority="505" operator="equal">
      <formula>0</formula>
    </cfRule>
    <cfRule type="expression" dxfId="1761" priority="506">
      <formula>$C19&gt;$E$3</formula>
    </cfRule>
  </conditionalFormatting>
  <conditionalFormatting sqref="K19">
    <cfRule type="expression" dxfId="1760" priority="502">
      <formula>$C19&lt;$E$3</formula>
    </cfRule>
  </conditionalFormatting>
  <conditionalFormatting sqref="K19">
    <cfRule type="expression" dxfId="1759" priority="498">
      <formula>$C19=$E$3</formula>
    </cfRule>
    <cfRule type="expression" dxfId="1758" priority="499">
      <formula>$C19&lt;$E$3</formula>
    </cfRule>
    <cfRule type="cellIs" dxfId="1757" priority="500" operator="equal">
      <formula>0</formula>
    </cfRule>
    <cfRule type="expression" dxfId="1756" priority="501">
      <formula>$C19&gt;$E$3</formula>
    </cfRule>
  </conditionalFormatting>
  <conditionalFormatting sqref="K19">
    <cfRule type="expression" dxfId="1755" priority="497">
      <formula>$E19=""</formula>
    </cfRule>
  </conditionalFormatting>
  <conditionalFormatting sqref="K19">
    <cfRule type="expression" dxfId="1754" priority="496">
      <formula>$C19&lt;$E$3</formula>
    </cfRule>
  </conditionalFormatting>
  <conditionalFormatting sqref="K19">
    <cfRule type="expression" dxfId="1753" priority="495">
      <formula>$E19=""</formula>
    </cfRule>
  </conditionalFormatting>
  <conditionalFormatting sqref="K19">
    <cfRule type="expression" dxfId="1752" priority="494">
      <formula>$E19=""</formula>
    </cfRule>
  </conditionalFormatting>
  <conditionalFormatting sqref="K19">
    <cfRule type="expression" dxfId="1751" priority="493">
      <formula>$C19&lt;$E$3</formula>
    </cfRule>
  </conditionalFormatting>
  <conditionalFormatting sqref="K19">
    <cfRule type="expression" dxfId="1750" priority="492">
      <formula>$E19=""</formula>
    </cfRule>
  </conditionalFormatting>
  <conditionalFormatting sqref="K19">
    <cfRule type="expression" dxfId="1749" priority="488">
      <formula>$E19=""</formula>
    </cfRule>
  </conditionalFormatting>
  <conditionalFormatting sqref="K14:K18">
    <cfRule type="expression" dxfId="1748" priority="483">
      <formula>$C14=$E$3</formula>
    </cfRule>
    <cfRule type="expression" dxfId="1747" priority="484">
      <formula>$C14&lt;$E$3</formula>
    </cfRule>
    <cfRule type="cellIs" dxfId="1746" priority="485" operator="equal">
      <formula>0</formula>
    </cfRule>
    <cfRule type="expression" dxfId="1745" priority="486">
      <formula>$C14&gt;$E$3</formula>
    </cfRule>
  </conditionalFormatting>
  <conditionalFormatting sqref="K14:K18">
    <cfRule type="expression" dxfId="1744" priority="482">
      <formula>$C14&lt;$E$3</formula>
    </cfRule>
  </conditionalFormatting>
  <conditionalFormatting sqref="K14:K18">
    <cfRule type="expression" dxfId="1743" priority="478">
      <formula>$C14=$E$3</formula>
    </cfRule>
    <cfRule type="expression" dxfId="1742" priority="479">
      <formula>$C14&lt;$E$3</formula>
    </cfRule>
    <cfRule type="cellIs" dxfId="1741" priority="480" operator="equal">
      <formula>0</formula>
    </cfRule>
    <cfRule type="expression" dxfId="1740" priority="481">
      <formula>$C14&gt;$E$3</formula>
    </cfRule>
  </conditionalFormatting>
  <conditionalFormatting sqref="K14:K18">
    <cfRule type="expression" dxfId="1739" priority="477">
      <formula>$C14&lt;$E$3</formula>
    </cfRule>
  </conditionalFormatting>
  <conditionalFormatting sqref="K14:K18">
    <cfRule type="expression" dxfId="1738" priority="473">
      <formula>$C14=$E$3</formula>
    </cfRule>
    <cfRule type="expression" dxfId="1737" priority="474">
      <formula>$C14&lt;$E$3</formula>
    </cfRule>
    <cfRule type="cellIs" dxfId="1736" priority="475" operator="equal">
      <formula>0</formula>
    </cfRule>
    <cfRule type="expression" dxfId="1735" priority="476">
      <formula>$C14&gt;$E$3</formula>
    </cfRule>
  </conditionalFormatting>
  <conditionalFormatting sqref="K14:K18">
    <cfRule type="expression" dxfId="1734" priority="472">
      <formula>$C14&lt;$E$3</formula>
    </cfRule>
  </conditionalFormatting>
  <conditionalFormatting sqref="K14:K18">
    <cfRule type="expression" dxfId="1733" priority="468">
      <formula>$C14=$E$3</formula>
    </cfRule>
    <cfRule type="expression" dxfId="1732" priority="469">
      <formula>$C14&lt;$E$3</formula>
    </cfRule>
    <cfRule type="cellIs" dxfId="1731" priority="470" operator="equal">
      <formula>0</formula>
    </cfRule>
    <cfRule type="expression" dxfId="1730" priority="471">
      <formula>$C14&gt;$E$3</formula>
    </cfRule>
  </conditionalFormatting>
  <conditionalFormatting sqref="K14:K18">
    <cfRule type="expression" dxfId="1729" priority="467">
      <formula>$E14=""</formula>
    </cfRule>
  </conditionalFormatting>
  <conditionalFormatting sqref="K14:K18">
    <cfRule type="expression" dxfId="1728" priority="466">
      <formula>$C14&lt;$E$3</formula>
    </cfRule>
  </conditionalFormatting>
  <conditionalFormatting sqref="K14:K18">
    <cfRule type="expression" dxfId="1727" priority="465">
      <formula>$E14=""</formula>
    </cfRule>
  </conditionalFormatting>
  <conditionalFormatting sqref="K14:K18">
    <cfRule type="expression" dxfId="1726" priority="464">
      <formula>$E14=""</formula>
    </cfRule>
  </conditionalFormatting>
  <conditionalFormatting sqref="K14:K18">
    <cfRule type="expression" dxfId="1725" priority="463">
      <formula>$C14&lt;$E$3</formula>
    </cfRule>
  </conditionalFormatting>
  <conditionalFormatting sqref="K14:K18">
    <cfRule type="expression" dxfId="1724" priority="462">
      <formula>$E14=""</formula>
    </cfRule>
  </conditionalFormatting>
  <conditionalFormatting sqref="K14:K18">
    <cfRule type="expression" dxfId="1723" priority="458">
      <formula>$E14=""</formula>
    </cfRule>
  </conditionalFormatting>
  <conditionalFormatting sqref="K14:K18">
    <cfRule type="expression" dxfId="1722" priority="453">
      <formula>$C14=$E$3</formula>
    </cfRule>
    <cfRule type="expression" dxfId="1721" priority="454">
      <formula>$C14&lt;$E$3</formula>
    </cfRule>
    <cfRule type="cellIs" dxfId="1720" priority="455" operator="equal">
      <formula>0</formula>
    </cfRule>
    <cfRule type="expression" dxfId="1719" priority="456">
      <formula>$C14&gt;$E$3</formula>
    </cfRule>
  </conditionalFormatting>
  <conditionalFormatting sqref="K14:K18">
    <cfRule type="expression" dxfId="1718" priority="452">
      <formula>$C14&lt;$E$3</formula>
    </cfRule>
  </conditionalFormatting>
  <conditionalFormatting sqref="K14:K18">
    <cfRule type="expression" dxfId="1717" priority="448">
      <formula>$C14=$E$3</formula>
    </cfRule>
    <cfRule type="expression" dxfId="1716" priority="449">
      <formula>$C14&lt;$E$3</formula>
    </cfRule>
    <cfRule type="cellIs" dxfId="1715" priority="450" operator="equal">
      <formula>0</formula>
    </cfRule>
    <cfRule type="expression" dxfId="1714" priority="451">
      <formula>$C14&gt;$E$3</formula>
    </cfRule>
  </conditionalFormatting>
  <conditionalFormatting sqref="K14:K18">
    <cfRule type="expression" dxfId="1713" priority="447">
      <formula>$C14&lt;$E$3</formula>
    </cfRule>
  </conditionalFormatting>
  <conditionalFormatting sqref="K14:K18">
    <cfRule type="expression" dxfId="1712" priority="443">
      <formula>$C14=$E$3</formula>
    </cfRule>
    <cfRule type="expression" dxfId="1711" priority="444">
      <formula>$C14&lt;$E$3</formula>
    </cfRule>
    <cfRule type="cellIs" dxfId="1710" priority="445" operator="equal">
      <formula>0</formula>
    </cfRule>
    <cfRule type="expression" dxfId="1709" priority="446">
      <formula>$C14&gt;$E$3</formula>
    </cfRule>
  </conditionalFormatting>
  <conditionalFormatting sqref="K14:K18">
    <cfRule type="expression" dxfId="1708" priority="442">
      <formula>$C14&lt;$E$3</formula>
    </cfRule>
  </conditionalFormatting>
  <conditionalFormatting sqref="K14:K18">
    <cfRule type="expression" dxfId="1707" priority="438">
      <formula>$C14=$E$3</formula>
    </cfRule>
    <cfRule type="expression" dxfId="1706" priority="439">
      <formula>$C14&lt;$E$3</formula>
    </cfRule>
    <cfRule type="cellIs" dxfId="1705" priority="440" operator="equal">
      <formula>0</formula>
    </cfRule>
    <cfRule type="expression" dxfId="1704" priority="441">
      <formula>$C14&gt;$E$3</formula>
    </cfRule>
  </conditionalFormatting>
  <conditionalFormatting sqref="K14:K18">
    <cfRule type="expression" dxfId="1703" priority="437">
      <formula>$E14=""</formula>
    </cfRule>
  </conditionalFormatting>
  <conditionalFormatting sqref="K14:K18">
    <cfRule type="expression" dxfId="1702" priority="436">
      <formula>$C14&lt;$E$3</formula>
    </cfRule>
  </conditionalFormatting>
  <conditionalFormatting sqref="K14:K18">
    <cfRule type="expression" dxfId="1701" priority="435">
      <formula>$E14=""</formula>
    </cfRule>
  </conditionalFormatting>
  <conditionalFormatting sqref="K14:K18">
    <cfRule type="expression" dxfId="1700" priority="434">
      <formula>$E14=""</formula>
    </cfRule>
  </conditionalFormatting>
  <conditionalFormatting sqref="K14:K18">
    <cfRule type="expression" dxfId="1699" priority="432">
      <formula>$E14=""</formula>
    </cfRule>
  </conditionalFormatting>
  <conditionalFormatting sqref="K14:K18">
    <cfRule type="expression" dxfId="1698" priority="431">
      <formula>$C14&lt;$E$3</formula>
    </cfRule>
  </conditionalFormatting>
  <conditionalFormatting sqref="K14:K18">
    <cfRule type="expression" dxfId="1697" priority="430">
      <formula>$E14=""</formula>
    </cfRule>
  </conditionalFormatting>
  <conditionalFormatting sqref="K14:K18">
    <cfRule type="expression" dxfId="1696" priority="429">
      <formula>$C14&lt;$E$3</formula>
    </cfRule>
  </conditionalFormatting>
  <conditionalFormatting sqref="K14:K18">
    <cfRule type="expression" dxfId="1695" priority="428">
      <formula>$E14=""</formula>
    </cfRule>
  </conditionalFormatting>
  <conditionalFormatting sqref="K14:K20">
    <cfRule type="expression" dxfId="1694" priority="426">
      <formula>$C14&lt;$E$3</formula>
    </cfRule>
  </conditionalFormatting>
  <conditionalFormatting sqref="K14:K20">
    <cfRule type="expression" dxfId="1693" priority="423">
      <formula>$C14=$E$3</formula>
    </cfRule>
    <cfRule type="expression" dxfId="1692" priority="424">
      <formula>$C14&lt;$E$3</formula>
    </cfRule>
    <cfRule type="cellIs" dxfId="1691" priority="425" operator="equal">
      <formula>0</formula>
    </cfRule>
    <cfRule type="expression" dxfId="1690" priority="427">
      <formula>$C14&gt;$E$3</formula>
    </cfRule>
  </conditionalFormatting>
  <conditionalFormatting sqref="K14:K20">
    <cfRule type="expression" dxfId="1689" priority="422">
      <formula>$E14=""</formula>
    </cfRule>
  </conditionalFormatting>
  <conditionalFormatting sqref="K14:K20">
    <cfRule type="expression" dxfId="1688" priority="421">
      <formula>$E14=""</formula>
    </cfRule>
  </conditionalFormatting>
  <conditionalFormatting sqref="K14:K20">
    <cfRule type="expression" dxfId="1687" priority="420">
      <formula>$E14=""</formula>
    </cfRule>
  </conditionalFormatting>
  <conditionalFormatting sqref="K23:K29">
    <cfRule type="cellIs" dxfId="1686" priority="419" stopIfTrue="1" operator="lessThan">
      <formula>0</formula>
    </cfRule>
  </conditionalFormatting>
  <conditionalFormatting sqref="K23:K29">
    <cfRule type="expression" dxfId="1685" priority="414">
      <formula>$C23=$E$3</formula>
    </cfRule>
    <cfRule type="expression" dxfId="1684" priority="415">
      <formula>$C23&lt;$E$3</formula>
    </cfRule>
    <cfRule type="cellIs" dxfId="1683" priority="416" operator="equal">
      <formula>0</formula>
    </cfRule>
    <cfRule type="expression" dxfId="1682" priority="418">
      <formula>$C23&gt;$E$3</formula>
    </cfRule>
  </conditionalFormatting>
  <conditionalFormatting sqref="K23:K29">
    <cfRule type="expression" dxfId="1681" priority="413">
      <formula>$E23=""</formula>
    </cfRule>
  </conditionalFormatting>
  <conditionalFormatting sqref="K23:K29">
    <cfRule type="expression" dxfId="1680" priority="412">
      <formula>$E23=""</formula>
    </cfRule>
  </conditionalFormatting>
  <conditionalFormatting sqref="K28">
    <cfRule type="expression" dxfId="1679" priority="406">
      <formula>$C28=$E$3</formula>
    </cfRule>
    <cfRule type="expression" dxfId="1678" priority="407">
      <formula>$C28&lt;$E$3</formula>
    </cfRule>
    <cfRule type="cellIs" dxfId="1677" priority="408" operator="equal">
      <formula>0</formula>
    </cfRule>
    <cfRule type="expression" dxfId="1676" priority="409">
      <formula>$C28&gt;$E$3</formula>
    </cfRule>
  </conditionalFormatting>
  <conditionalFormatting sqref="K28">
    <cfRule type="expression" dxfId="1675" priority="405">
      <formula>$C28&lt;$E$3</formula>
    </cfRule>
  </conditionalFormatting>
  <conditionalFormatting sqref="K28">
    <cfRule type="expression" dxfId="1674" priority="401">
      <formula>$C28=$E$3</formula>
    </cfRule>
    <cfRule type="expression" dxfId="1673" priority="402">
      <formula>$C28&lt;$E$3</formula>
    </cfRule>
    <cfRule type="cellIs" dxfId="1672" priority="403" operator="equal">
      <formula>0</formula>
    </cfRule>
    <cfRule type="expression" dxfId="1671" priority="404">
      <formula>$C28&gt;$E$3</formula>
    </cfRule>
  </conditionalFormatting>
  <conditionalFormatting sqref="K28">
    <cfRule type="expression" dxfId="1670" priority="400">
      <formula>$C28&lt;$E$3</formula>
    </cfRule>
  </conditionalFormatting>
  <conditionalFormatting sqref="K28">
    <cfRule type="expression" dxfId="1669" priority="396">
      <formula>$C28=$E$3</formula>
    </cfRule>
    <cfRule type="expression" dxfId="1668" priority="397">
      <formula>$C28&lt;$E$3</formula>
    </cfRule>
    <cfRule type="cellIs" dxfId="1667" priority="398" operator="equal">
      <formula>0</formula>
    </cfRule>
    <cfRule type="expression" dxfId="1666" priority="399">
      <formula>$C28&gt;$E$3</formula>
    </cfRule>
  </conditionalFormatting>
  <conditionalFormatting sqref="K28">
    <cfRule type="expression" dxfId="1665" priority="395">
      <formula>$C28&lt;$E$3</formula>
    </cfRule>
  </conditionalFormatting>
  <conditionalFormatting sqref="K28">
    <cfRule type="expression" dxfId="1664" priority="391">
      <formula>$C28=$E$3</formula>
    </cfRule>
    <cfRule type="expression" dxfId="1663" priority="392">
      <formula>$C28&lt;$E$3</formula>
    </cfRule>
    <cfRule type="cellIs" dxfId="1662" priority="393" operator="equal">
      <formula>0</formula>
    </cfRule>
    <cfRule type="expression" dxfId="1661" priority="394">
      <formula>$C28&gt;$E$3</formula>
    </cfRule>
  </conditionalFormatting>
  <conditionalFormatting sqref="K28">
    <cfRule type="expression" dxfId="1660" priority="390">
      <formula>$E28=""</formula>
    </cfRule>
  </conditionalFormatting>
  <conditionalFormatting sqref="K28">
    <cfRule type="expression" dxfId="1659" priority="389">
      <formula>$C28&lt;$E$3</formula>
    </cfRule>
  </conditionalFormatting>
  <conditionalFormatting sqref="K28">
    <cfRule type="expression" dxfId="1658" priority="388">
      <formula>$E28=""</formula>
    </cfRule>
  </conditionalFormatting>
  <conditionalFormatting sqref="K28">
    <cfRule type="expression" dxfId="1657" priority="387">
      <formula>$E28=""</formula>
    </cfRule>
  </conditionalFormatting>
  <conditionalFormatting sqref="K28">
    <cfRule type="expression" dxfId="1656" priority="386">
      <formula>$C28&lt;$E$3</formula>
    </cfRule>
  </conditionalFormatting>
  <conditionalFormatting sqref="K28">
    <cfRule type="expression" dxfId="1655" priority="385">
      <formula>$E28=""</formula>
    </cfRule>
  </conditionalFormatting>
  <conditionalFormatting sqref="K28">
    <cfRule type="expression" dxfId="1654" priority="381">
      <formula>$E28=""</formula>
    </cfRule>
  </conditionalFormatting>
  <conditionalFormatting sqref="K28">
    <cfRule type="expression" dxfId="1653" priority="376">
      <formula>$C28=$E$3</formula>
    </cfRule>
    <cfRule type="expression" dxfId="1652" priority="377">
      <formula>$C28&lt;$E$3</formula>
    </cfRule>
    <cfRule type="cellIs" dxfId="1651" priority="378" operator="equal">
      <formula>0</formula>
    </cfRule>
    <cfRule type="expression" dxfId="1650" priority="379">
      <formula>$C28&gt;$E$3</formula>
    </cfRule>
  </conditionalFormatting>
  <conditionalFormatting sqref="K28">
    <cfRule type="expression" dxfId="1649" priority="375">
      <formula>$C28&lt;$E$3</formula>
    </cfRule>
  </conditionalFormatting>
  <conditionalFormatting sqref="K28">
    <cfRule type="expression" dxfId="1648" priority="371">
      <formula>$C28=$E$3</formula>
    </cfRule>
    <cfRule type="expression" dxfId="1647" priority="372">
      <formula>$C28&lt;$E$3</formula>
    </cfRule>
    <cfRule type="cellIs" dxfId="1646" priority="373" operator="equal">
      <formula>0</formula>
    </cfRule>
    <cfRule type="expression" dxfId="1645" priority="374">
      <formula>$C28&gt;$E$3</formula>
    </cfRule>
  </conditionalFormatting>
  <conditionalFormatting sqref="K28">
    <cfRule type="expression" dxfId="1644" priority="370">
      <formula>$C28&lt;$E$3</formula>
    </cfRule>
  </conditionalFormatting>
  <conditionalFormatting sqref="K28">
    <cfRule type="expression" dxfId="1643" priority="366">
      <formula>$C28=$E$3</formula>
    </cfRule>
    <cfRule type="expression" dxfId="1642" priority="367">
      <formula>$C28&lt;$E$3</formula>
    </cfRule>
    <cfRule type="cellIs" dxfId="1641" priority="368" operator="equal">
      <formula>0</formula>
    </cfRule>
    <cfRule type="expression" dxfId="1640" priority="369">
      <formula>$C28&gt;$E$3</formula>
    </cfRule>
  </conditionalFormatting>
  <conditionalFormatting sqref="K28">
    <cfRule type="expression" dxfId="1639" priority="365">
      <formula>$C28&lt;$E$3</formula>
    </cfRule>
  </conditionalFormatting>
  <conditionalFormatting sqref="K28">
    <cfRule type="expression" dxfId="1638" priority="361">
      <formula>$C28=$E$3</formula>
    </cfRule>
    <cfRule type="expression" dxfId="1637" priority="362">
      <formula>$C28&lt;$E$3</formula>
    </cfRule>
    <cfRule type="cellIs" dxfId="1636" priority="363" operator="equal">
      <formula>0</formula>
    </cfRule>
    <cfRule type="expression" dxfId="1635" priority="364">
      <formula>$C28&gt;$E$3</formula>
    </cfRule>
  </conditionalFormatting>
  <conditionalFormatting sqref="K28">
    <cfRule type="expression" dxfId="1634" priority="360">
      <formula>$E28=""</formula>
    </cfRule>
  </conditionalFormatting>
  <conditionalFormatting sqref="K28">
    <cfRule type="expression" dxfId="1633" priority="359">
      <formula>$C28&lt;$E$3</formula>
    </cfRule>
  </conditionalFormatting>
  <conditionalFormatting sqref="K28">
    <cfRule type="expression" dxfId="1632" priority="358">
      <formula>$E28=""</formula>
    </cfRule>
  </conditionalFormatting>
  <conditionalFormatting sqref="K28">
    <cfRule type="expression" dxfId="1631" priority="357">
      <formula>$E28=""</formula>
    </cfRule>
  </conditionalFormatting>
  <conditionalFormatting sqref="K28">
    <cfRule type="expression" dxfId="1630" priority="356">
      <formula>$C28&lt;$E$3</formula>
    </cfRule>
  </conditionalFormatting>
  <conditionalFormatting sqref="K28">
    <cfRule type="expression" dxfId="1629" priority="355">
      <formula>$E28=""</formula>
    </cfRule>
  </conditionalFormatting>
  <conditionalFormatting sqref="K28">
    <cfRule type="expression" dxfId="1628" priority="351">
      <formula>$E28=""</formula>
    </cfRule>
  </conditionalFormatting>
  <conditionalFormatting sqref="K23:K27">
    <cfRule type="expression" dxfId="1627" priority="346">
      <formula>$C23=$E$3</formula>
    </cfRule>
    <cfRule type="expression" dxfId="1626" priority="347">
      <formula>$C23&lt;$E$3</formula>
    </cfRule>
    <cfRule type="cellIs" dxfId="1625" priority="348" operator="equal">
      <formula>0</formula>
    </cfRule>
    <cfRule type="expression" dxfId="1624" priority="349">
      <formula>$C23&gt;$E$3</formula>
    </cfRule>
  </conditionalFormatting>
  <conditionalFormatting sqref="K23:K27">
    <cfRule type="expression" dxfId="1623" priority="345">
      <formula>$C23&lt;$E$3</formula>
    </cfRule>
  </conditionalFormatting>
  <conditionalFormatting sqref="K23:K27">
    <cfRule type="expression" dxfId="1622" priority="341">
      <formula>$C23=$E$3</formula>
    </cfRule>
    <cfRule type="expression" dxfId="1621" priority="342">
      <formula>$C23&lt;$E$3</formula>
    </cfRule>
    <cfRule type="cellIs" dxfId="1620" priority="343" operator="equal">
      <formula>0</formula>
    </cfRule>
    <cfRule type="expression" dxfId="1619" priority="344">
      <formula>$C23&gt;$E$3</formula>
    </cfRule>
  </conditionalFormatting>
  <conditionalFormatting sqref="K23:K27">
    <cfRule type="expression" dxfId="1618" priority="340">
      <formula>$C23&lt;$E$3</formula>
    </cfRule>
  </conditionalFormatting>
  <conditionalFormatting sqref="K23:K27">
    <cfRule type="expression" dxfId="1617" priority="336">
      <formula>$C23=$E$3</formula>
    </cfRule>
    <cfRule type="expression" dxfId="1616" priority="337">
      <formula>$C23&lt;$E$3</formula>
    </cfRule>
    <cfRule type="cellIs" dxfId="1615" priority="338" operator="equal">
      <formula>0</formula>
    </cfRule>
    <cfRule type="expression" dxfId="1614" priority="339">
      <formula>$C23&gt;$E$3</formula>
    </cfRule>
  </conditionalFormatting>
  <conditionalFormatting sqref="K23:K27">
    <cfRule type="expression" dxfId="1613" priority="335">
      <formula>$C23&lt;$E$3</formula>
    </cfRule>
  </conditionalFormatting>
  <conditionalFormatting sqref="K23:K27">
    <cfRule type="expression" dxfId="1612" priority="331">
      <formula>$C23=$E$3</formula>
    </cfRule>
    <cfRule type="expression" dxfId="1611" priority="332">
      <formula>$C23&lt;$E$3</formula>
    </cfRule>
    <cfRule type="cellIs" dxfId="1610" priority="333" operator="equal">
      <formula>0</formula>
    </cfRule>
    <cfRule type="expression" dxfId="1609" priority="334">
      <formula>$C23&gt;$E$3</formula>
    </cfRule>
  </conditionalFormatting>
  <conditionalFormatting sqref="K23:K27">
    <cfRule type="expression" dxfId="1608" priority="330">
      <formula>$E23=""</formula>
    </cfRule>
  </conditionalFormatting>
  <conditionalFormatting sqref="K23:K27">
    <cfRule type="expression" dxfId="1607" priority="329">
      <formula>$C23&lt;$E$3</formula>
    </cfRule>
  </conditionalFormatting>
  <conditionalFormatting sqref="K23:K27">
    <cfRule type="expression" dxfId="1606" priority="328">
      <formula>$E23=""</formula>
    </cfRule>
  </conditionalFormatting>
  <conditionalFormatting sqref="K23:K27">
    <cfRule type="expression" dxfId="1605" priority="327">
      <formula>$E23=""</formula>
    </cfRule>
  </conditionalFormatting>
  <conditionalFormatting sqref="K23:K27">
    <cfRule type="expression" dxfId="1604" priority="326">
      <formula>$C23&lt;$E$3</formula>
    </cfRule>
  </conditionalFormatting>
  <conditionalFormatting sqref="K23:K27">
    <cfRule type="expression" dxfId="1603" priority="325">
      <formula>$E23=""</formula>
    </cfRule>
  </conditionalFormatting>
  <conditionalFormatting sqref="K23:K27">
    <cfRule type="expression" dxfId="1602" priority="321">
      <formula>$E23=""</formula>
    </cfRule>
  </conditionalFormatting>
  <conditionalFormatting sqref="K23:K27">
    <cfRule type="expression" dxfId="1601" priority="316">
      <formula>$C23=$E$3</formula>
    </cfRule>
    <cfRule type="expression" dxfId="1600" priority="317">
      <formula>$C23&lt;$E$3</formula>
    </cfRule>
    <cfRule type="cellIs" dxfId="1599" priority="318" operator="equal">
      <formula>0</formula>
    </cfRule>
    <cfRule type="expression" dxfId="1598" priority="319">
      <formula>$C23&gt;$E$3</formula>
    </cfRule>
  </conditionalFormatting>
  <conditionalFormatting sqref="K23:K27">
    <cfRule type="expression" dxfId="1597" priority="315">
      <formula>$C23&lt;$E$3</formula>
    </cfRule>
  </conditionalFormatting>
  <conditionalFormatting sqref="K23:K27">
    <cfRule type="expression" dxfId="1596" priority="311">
      <formula>$C23=$E$3</formula>
    </cfRule>
    <cfRule type="expression" dxfId="1595" priority="312">
      <formula>$C23&lt;$E$3</formula>
    </cfRule>
    <cfRule type="cellIs" dxfId="1594" priority="313" operator="equal">
      <formula>0</formula>
    </cfRule>
    <cfRule type="expression" dxfId="1593" priority="314">
      <formula>$C23&gt;$E$3</formula>
    </cfRule>
  </conditionalFormatting>
  <conditionalFormatting sqref="K23:K27">
    <cfRule type="expression" dxfId="1592" priority="310">
      <formula>$C23&lt;$E$3</formula>
    </cfRule>
  </conditionalFormatting>
  <conditionalFormatting sqref="K23:K27">
    <cfRule type="expression" dxfId="1591" priority="306">
      <formula>$C23=$E$3</formula>
    </cfRule>
    <cfRule type="expression" dxfId="1590" priority="307">
      <formula>$C23&lt;$E$3</formula>
    </cfRule>
    <cfRule type="cellIs" dxfId="1589" priority="308" operator="equal">
      <formula>0</formula>
    </cfRule>
    <cfRule type="expression" dxfId="1588" priority="309">
      <formula>$C23&gt;$E$3</formula>
    </cfRule>
  </conditionalFormatting>
  <conditionalFormatting sqref="K23:K27">
    <cfRule type="expression" dxfId="1587" priority="305">
      <formula>$C23&lt;$E$3</formula>
    </cfRule>
  </conditionalFormatting>
  <conditionalFormatting sqref="K23:K27">
    <cfRule type="expression" dxfId="1586" priority="301">
      <formula>$C23=$E$3</formula>
    </cfRule>
    <cfRule type="expression" dxfId="1585" priority="302">
      <formula>$C23&lt;$E$3</formula>
    </cfRule>
    <cfRule type="cellIs" dxfId="1584" priority="303" operator="equal">
      <formula>0</formula>
    </cfRule>
    <cfRule type="expression" dxfId="1583" priority="304">
      <formula>$C23&gt;$E$3</formula>
    </cfRule>
  </conditionalFormatting>
  <conditionalFormatting sqref="K23:K27">
    <cfRule type="expression" dxfId="1582" priority="300">
      <formula>$E23=""</formula>
    </cfRule>
  </conditionalFormatting>
  <conditionalFormatting sqref="K23:K27">
    <cfRule type="expression" dxfId="1581" priority="299">
      <formula>$C23&lt;$E$3</formula>
    </cfRule>
  </conditionalFormatting>
  <conditionalFormatting sqref="K23:K27">
    <cfRule type="expression" dxfId="1580" priority="298">
      <formula>$E23=""</formula>
    </cfRule>
  </conditionalFormatting>
  <conditionalFormatting sqref="K23:K27">
    <cfRule type="expression" dxfId="1579" priority="297">
      <formula>$E23=""</formula>
    </cfRule>
  </conditionalFormatting>
  <conditionalFormatting sqref="K23:K27">
    <cfRule type="expression" dxfId="1578" priority="295">
      <formula>$E23=""</formula>
    </cfRule>
  </conditionalFormatting>
  <conditionalFormatting sqref="K23:K27">
    <cfRule type="expression" dxfId="1577" priority="294">
      <formula>$C23&lt;$E$3</formula>
    </cfRule>
  </conditionalFormatting>
  <conditionalFormatting sqref="K23:K27">
    <cfRule type="expression" dxfId="1576" priority="293">
      <formula>$E23=""</formula>
    </cfRule>
  </conditionalFormatting>
  <conditionalFormatting sqref="K23:K27">
    <cfRule type="expression" dxfId="1575" priority="292">
      <formula>$C23&lt;$E$3</formula>
    </cfRule>
  </conditionalFormatting>
  <conditionalFormatting sqref="K23:K27">
    <cfRule type="expression" dxfId="1574" priority="291">
      <formula>$E23=""</formula>
    </cfRule>
  </conditionalFormatting>
  <conditionalFormatting sqref="K23:K29">
    <cfRule type="expression" dxfId="1573" priority="289">
      <formula>$C23&lt;$E$3</formula>
    </cfRule>
  </conditionalFormatting>
  <conditionalFormatting sqref="K23:K29">
    <cfRule type="expression" dxfId="1572" priority="286">
      <formula>$C23=$E$3</formula>
    </cfRule>
    <cfRule type="expression" dxfId="1571" priority="287">
      <formula>$C23&lt;$E$3</formula>
    </cfRule>
    <cfRule type="cellIs" dxfId="1570" priority="288" operator="equal">
      <formula>0</formula>
    </cfRule>
    <cfRule type="expression" dxfId="1569" priority="290">
      <formula>$C23&gt;$E$3</formula>
    </cfRule>
  </conditionalFormatting>
  <conditionalFormatting sqref="K23:K29">
    <cfRule type="expression" dxfId="1568" priority="285">
      <formula>$E23=""</formula>
    </cfRule>
  </conditionalFormatting>
  <conditionalFormatting sqref="K23:K29">
    <cfRule type="expression" dxfId="1567" priority="284">
      <formula>$E23=""</formula>
    </cfRule>
  </conditionalFormatting>
  <conditionalFormatting sqref="K23:K29">
    <cfRule type="expression" dxfId="1566" priority="283">
      <formula>$E23=""</formula>
    </cfRule>
  </conditionalFormatting>
  <conditionalFormatting sqref="K32:K38">
    <cfRule type="cellIs" dxfId="1565" priority="282" stopIfTrue="1" operator="lessThan">
      <formula>0</formula>
    </cfRule>
  </conditionalFormatting>
  <conditionalFormatting sqref="K32:K38">
    <cfRule type="expression" dxfId="1564" priority="277">
      <formula>$C32=$E$3</formula>
    </cfRule>
    <cfRule type="expression" dxfId="1563" priority="278">
      <formula>$C32&lt;$E$3</formula>
    </cfRule>
    <cfRule type="cellIs" dxfId="1562" priority="279" operator="equal">
      <formula>0</formula>
    </cfRule>
    <cfRule type="expression" dxfId="1561" priority="281">
      <formula>$C32&gt;$E$3</formula>
    </cfRule>
  </conditionalFormatting>
  <conditionalFormatting sqref="K32:K38">
    <cfRule type="expression" dxfId="1560" priority="276">
      <formula>$E32=""</formula>
    </cfRule>
  </conditionalFormatting>
  <conditionalFormatting sqref="K32:K38">
    <cfRule type="expression" dxfId="1559" priority="275">
      <formula>$E32=""</formula>
    </cfRule>
  </conditionalFormatting>
  <conditionalFormatting sqref="K37">
    <cfRule type="expression" dxfId="1558" priority="269">
      <formula>$C37=$E$3</formula>
    </cfRule>
    <cfRule type="expression" dxfId="1557" priority="270">
      <formula>$C37&lt;$E$3</formula>
    </cfRule>
    <cfRule type="cellIs" dxfId="1556" priority="271" operator="equal">
      <formula>0</formula>
    </cfRule>
    <cfRule type="expression" dxfId="1555" priority="272">
      <formula>$C37&gt;$E$3</formula>
    </cfRule>
  </conditionalFormatting>
  <conditionalFormatting sqref="K37">
    <cfRule type="expression" dxfId="1554" priority="268">
      <formula>$C37&lt;$E$3</formula>
    </cfRule>
  </conditionalFormatting>
  <conditionalFormatting sqref="K37">
    <cfRule type="expression" dxfId="1553" priority="264">
      <formula>$C37=$E$3</formula>
    </cfRule>
    <cfRule type="expression" dxfId="1552" priority="265">
      <formula>$C37&lt;$E$3</formula>
    </cfRule>
    <cfRule type="cellIs" dxfId="1551" priority="266" operator="equal">
      <formula>0</formula>
    </cfRule>
    <cfRule type="expression" dxfId="1550" priority="267">
      <formula>$C37&gt;$E$3</formula>
    </cfRule>
  </conditionalFormatting>
  <conditionalFormatting sqref="K37">
    <cfRule type="expression" dxfId="1549" priority="253">
      <formula>$E37=""</formula>
    </cfRule>
  </conditionalFormatting>
  <conditionalFormatting sqref="K37">
    <cfRule type="expression" dxfId="1548" priority="252">
      <formula>$C37&lt;$E$3</formula>
    </cfRule>
  </conditionalFormatting>
  <conditionalFormatting sqref="K37">
    <cfRule type="expression" dxfId="1547" priority="251">
      <formula>$E37=""</formula>
    </cfRule>
  </conditionalFormatting>
  <conditionalFormatting sqref="K37">
    <cfRule type="expression" dxfId="1546" priority="250">
      <formula>$E37=""</formula>
    </cfRule>
  </conditionalFormatting>
  <conditionalFormatting sqref="K37">
    <cfRule type="expression" dxfId="1545" priority="249">
      <formula>$C37&lt;$E$3</formula>
    </cfRule>
  </conditionalFormatting>
  <conditionalFormatting sqref="K37">
    <cfRule type="expression" dxfId="1544" priority="248">
      <formula>$E37=""</formula>
    </cfRule>
  </conditionalFormatting>
  <conditionalFormatting sqref="K37">
    <cfRule type="expression" dxfId="1543" priority="244">
      <formula>$E37=""</formula>
    </cfRule>
  </conditionalFormatting>
  <conditionalFormatting sqref="K37">
    <cfRule type="expression" dxfId="1542" priority="239">
      <formula>$C37=$E$3</formula>
    </cfRule>
    <cfRule type="expression" dxfId="1541" priority="240">
      <formula>$C37&lt;$E$3</formula>
    </cfRule>
    <cfRule type="cellIs" dxfId="1540" priority="241" operator="equal">
      <formula>0</formula>
    </cfRule>
    <cfRule type="expression" dxfId="1539" priority="242">
      <formula>$C37&gt;$E$3</formula>
    </cfRule>
  </conditionalFormatting>
  <conditionalFormatting sqref="K37">
    <cfRule type="expression" dxfId="1538" priority="238">
      <formula>$C37&lt;$E$3</formula>
    </cfRule>
  </conditionalFormatting>
  <conditionalFormatting sqref="K37">
    <cfRule type="expression" dxfId="1537" priority="234">
      <formula>$C37=$E$3</formula>
    </cfRule>
    <cfRule type="expression" dxfId="1536" priority="235">
      <formula>$C37&lt;$E$3</formula>
    </cfRule>
    <cfRule type="cellIs" dxfId="1535" priority="236" operator="equal">
      <formula>0</formula>
    </cfRule>
    <cfRule type="expression" dxfId="1534" priority="237">
      <formula>$C37&gt;$E$3</formula>
    </cfRule>
  </conditionalFormatting>
  <conditionalFormatting sqref="K37">
    <cfRule type="expression" dxfId="1533" priority="223">
      <formula>$E37=""</formula>
    </cfRule>
  </conditionalFormatting>
  <conditionalFormatting sqref="K37">
    <cfRule type="expression" dxfId="1532" priority="222">
      <formula>$C37&lt;$E$3</formula>
    </cfRule>
  </conditionalFormatting>
  <conditionalFormatting sqref="K37">
    <cfRule type="expression" dxfId="1531" priority="221">
      <formula>$E37=""</formula>
    </cfRule>
  </conditionalFormatting>
  <conditionalFormatting sqref="K37">
    <cfRule type="expression" dxfId="1530" priority="220">
      <formula>$E37=""</formula>
    </cfRule>
  </conditionalFormatting>
  <conditionalFormatting sqref="K37">
    <cfRule type="expression" dxfId="1529" priority="219">
      <formula>$C37&lt;$E$3</formula>
    </cfRule>
  </conditionalFormatting>
  <conditionalFormatting sqref="K37">
    <cfRule type="expression" dxfId="1528" priority="218">
      <formula>$E37=""</formula>
    </cfRule>
  </conditionalFormatting>
  <conditionalFormatting sqref="K37">
    <cfRule type="expression" dxfId="1527" priority="214">
      <formula>$E37=""</formula>
    </cfRule>
  </conditionalFormatting>
  <conditionalFormatting sqref="K32:K36">
    <cfRule type="expression" dxfId="1526" priority="209">
      <formula>$C32=$E$3</formula>
    </cfRule>
    <cfRule type="expression" dxfId="1525" priority="210">
      <formula>$C32&lt;$E$3</formula>
    </cfRule>
    <cfRule type="cellIs" dxfId="1524" priority="211" operator="equal">
      <formula>0</formula>
    </cfRule>
    <cfRule type="expression" dxfId="1523" priority="212">
      <formula>$C32&gt;$E$3</formula>
    </cfRule>
  </conditionalFormatting>
  <conditionalFormatting sqref="K32:K36">
    <cfRule type="expression" dxfId="1522" priority="208">
      <formula>$C32&lt;$E$3</formula>
    </cfRule>
  </conditionalFormatting>
  <conditionalFormatting sqref="K32:K36">
    <cfRule type="expression" dxfId="1521" priority="204">
      <formula>$C32=$E$3</formula>
    </cfRule>
    <cfRule type="expression" dxfId="1520" priority="205">
      <formula>$C32&lt;$E$3</formula>
    </cfRule>
    <cfRule type="cellIs" dxfId="1519" priority="206" operator="equal">
      <formula>0</formula>
    </cfRule>
    <cfRule type="expression" dxfId="1518" priority="207">
      <formula>$C32&gt;$E$3</formula>
    </cfRule>
  </conditionalFormatting>
  <conditionalFormatting sqref="K32:K36">
    <cfRule type="expression" dxfId="1517" priority="193">
      <formula>$E32=""</formula>
    </cfRule>
  </conditionalFormatting>
  <conditionalFormatting sqref="K32:K36">
    <cfRule type="expression" dxfId="1516" priority="192">
      <formula>$C32&lt;$E$3</formula>
    </cfRule>
  </conditionalFormatting>
  <conditionalFormatting sqref="K32:K36">
    <cfRule type="expression" dxfId="1515" priority="191">
      <formula>$E32=""</formula>
    </cfRule>
  </conditionalFormatting>
  <conditionalFormatting sqref="K32:K36">
    <cfRule type="expression" dxfId="1514" priority="190">
      <formula>$E32=""</formula>
    </cfRule>
  </conditionalFormatting>
  <conditionalFormatting sqref="K32:K36">
    <cfRule type="expression" dxfId="1513" priority="189">
      <formula>$C32&lt;$E$3</formula>
    </cfRule>
  </conditionalFormatting>
  <conditionalFormatting sqref="K32:K36">
    <cfRule type="expression" dxfId="1512" priority="188">
      <formula>$E32=""</formula>
    </cfRule>
  </conditionalFormatting>
  <conditionalFormatting sqref="K32:K36">
    <cfRule type="expression" dxfId="1511" priority="184">
      <formula>$E32=""</formula>
    </cfRule>
  </conditionalFormatting>
  <conditionalFormatting sqref="K32:K36">
    <cfRule type="expression" dxfId="1510" priority="179">
      <formula>$C32=$E$3</formula>
    </cfRule>
    <cfRule type="expression" dxfId="1509" priority="180">
      <formula>$C32&lt;$E$3</formula>
    </cfRule>
    <cfRule type="cellIs" dxfId="1508" priority="181" operator="equal">
      <formula>0</formula>
    </cfRule>
    <cfRule type="expression" dxfId="1507" priority="182">
      <formula>$C32&gt;$E$3</formula>
    </cfRule>
  </conditionalFormatting>
  <conditionalFormatting sqref="K32:K36">
    <cfRule type="expression" dxfId="1506" priority="178">
      <formula>$C32&lt;$E$3</formula>
    </cfRule>
  </conditionalFormatting>
  <conditionalFormatting sqref="K32:K36">
    <cfRule type="expression" dxfId="1505" priority="174">
      <formula>$C32=$E$3</formula>
    </cfRule>
    <cfRule type="expression" dxfId="1504" priority="175">
      <formula>$C32&lt;$E$3</formula>
    </cfRule>
    <cfRule type="cellIs" dxfId="1503" priority="176" operator="equal">
      <formula>0</formula>
    </cfRule>
    <cfRule type="expression" dxfId="1502" priority="177">
      <formula>$C32&gt;$E$3</formula>
    </cfRule>
  </conditionalFormatting>
  <conditionalFormatting sqref="K32:K36">
    <cfRule type="expression" dxfId="1501" priority="173">
      <formula>$C32&lt;$E$3</formula>
    </cfRule>
  </conditionalFormatting>
  <conditionalFormatting sqref="K32:K36">
    <cfRule type="expression" dxfId="1500" priority="169">
      <formula>$C32=$E$3</formula>
    </cfRule>
    <cfRule type="expression" dxfId="1499" priority="170">
      <formula>$C32&lt;$E$3</formula>
    </cfRule>
    <cfRule type="cellIs" dxfId="1498" priority="171" operator="equal">
      <formula>0</formula>
    </cfRule>
    <cfRule type="expression" dxfId="1497" priority="172">
      <formula>$C32&gt;$E$3</formula>
    </cfRule>
  </conditionalFormatting>
  <conditionalFormatting sqref="K32:K36">
    <cfRule type="expression" dxfId="1496" priority="168">
      <formula>$C32&lt;$E$3</formula>
    </cfRule>
  </conditionalFormatting>
  <conditionalFormatting sqref="K32:K36">
    <cfRule type="expression" dxfId="1495" priority="164">
      <formula>$C32=$E$3</formula>
    </cfRule>
    <cfRule type="expression" dxfId="1494" priority="165">
      <formula>$C32&lt;$E$3</formula>
    </cfRule>
    <cfRule type="cellIs" dxfId="1493" priority="166" operator="equal">
      <formula>0</formula>
    </cfRule>
    <cfRule type="expression" dxfId="1492" priority="167">
      <formula>$C32&gt;$E$3</formula>
    </cfRule>
  </conditionalFormatting>
  <conditionalFormatting sqref="K32:K36">
    <cfRule type="expression" dxfId="1491" priority="163">
      <formula>$E32=""</formula>
    </cfRule>
  </conditionalFormatting>
  <conditionalFormatting sqref="K32:K36">
    <cfRule type="expression" dxfId="1490" priority="162">
      <formula>$C32&lt;$E$3</formula>
    </cfRule>
  </conditionalFormatting>
  <conditionalFormatting sqref="K32:K36">
    <cfRule type="expression" dxfId="1489" priority="161">
      <formula>$E32=""</formula>
    </cfRule>
  </conditionalFormatting>
  <conditionalFormatting sqref="K32:K36">
    <cfRule type="expression" dxfId="1488" priority="160">
      <formula>$E32=""</formula>
    </cfRule>
  </conditionalFormatting>
  <conditionalFormatting sqref="K32:K36">
    <cfRule type="expression" dxfId="1487" priority="158">
      <formula>$E32=""</formula>
    </cfRule>
  </conditionalFormatting>
  <conditionalFormatting sqref="K32:K36">
    <cfRule type="expression" dxfId="1486" priority="157">
      <formula>$C32&lt;$E$3</formula>
    </cfRule>
  </conditionalFormatting>
  <conditionalFormatting sqref="K32:K36">
    <cfRule type="expression" dxfId="1485" priority="156">
      <formula>$E32=""</formula>
    </cfRule>
  </conditionalFormatting>
  <conditionalFormatting sqref="K32:K36">
    <cfRule type="expression" dxfId="1484" priority="155">
      <formula>$C32&lt;$E$3</formula>
    </cfRule>
  </conditionalFormatting>
  <conditionalFormatting sqref="K32:K36">
    <cfRule type="expression" dxfId="1483" priority="154">
      <formula>$E32=""</formula>
    </cfRule>
  </conditionalFormatting>
  <conditionalFormatting sqref="K32:K38">
    <cfRule type="expression" dxfId="1482" priority="152">
      <formula>$C32&lt;$E$3</formula>
    </cfRule>
  </conditionalFormatting>
  <conditionalFormatting sqref="K32:K38">
    <cfRule type="expression" dxfId="1481" priority="149">
      <formula>$C32=$E$3</formula>
    </cfRule>
    <cfRule type="expression" dxfId="1480" priority="150">
      <formula>$C32&lt;$E$3</formula>
    </cfRule>
    <cfRule type="cellIs" dxfId="1479" priority="151" operator="equal">
      <formula>0</formula>
    </cfRule>
    <cfRule type="expression" dxfId="1478" priority="153">
      <formula>$C32&gt;$E$3</formula>
    </cfRule>
  </conditionalFormatting>
  <conditionalFormatting sqref="K32:K38">
    <cfRule type="expression" dxfId="1477" priority="148">
      <formula>$E32=""</formula>
    </cfRule>
  </conditionalFormatting>
  <conditionalFormatting sqref="K32:K38">
    <cfRule type="expression" dxfId="1476" priority="147">
      <formula>$E32=""</formula>
    </cfRule>
  </conditionalFormatting>
  <conditionalFormatting sqref="K32:K38">
    <cfRule type="expression" dxfId="1475" priority="146">
      <formula>$E32=""</formula>
    </cfRule>
  </conditionalFormatting>
  <conditionalFormatting sqref="K41:K47">
    <cfRule type="cellIs" dxfId="1474" priority="145" stopIfTrue="1" operator="lessThan">
      <formula>0</formula>
    </cfRule>
  </conditionalFormatting>
  <conditionalFormatting sqref="K41:K47">
    <cfRule type="expression" dxfId="1473" priority="140">
      <formula>$C41=$E$3</formula>
    </cfRule>
    <cfRule type="expression" dxfId="1472" priority="141">
      <formula>$C41&lt;$E$3</formula>
    </cfRule>
    <cfRule type="cellIs" dxfId="1471" priority="142" operator="equal">
      <formula>0</formula>
    </cfRule>
    <cfRule type="expression" dxfId="1470" priority="144">
      <formula>$C41&gt;$E$3</formula>
    </cfRule>
  </conditionalFormatting>
  <conditionalFormatting sqref="K41:K47">
    <cfRule type="expression" dxfId="1469" priority="139">
      <formula>$E41=""</formula>
    </cfRule>
  </conditionalFormatting>
  <conditionalFormatting sqref="K41:K47">
    <cfRule type="expression" dxfId="1468" priority="138">
      <formula>$E41=""</formula>
    </cfRule>
  </conditionalFormatting>
  <conditionalFormatting sqref="K46">
    <cfRule type="expression" dxfId="1467" priority="132">
      <formula>$C46=$E$3</formula>
    </cfRule>
    <cfRule type="expression" dxfId="1466" priority="133">
      <formula>$C46&lt;$E$3</formula>
    </cfRule>
    <cfRule type="cellIs" dxfId="1465" priority="134" operator="equal">
      <formula>0</formula>
    </cfRule>
    <cfRule type="expression" dxfId="1464" priority="135">
      <formula>$C46&gt;$E$3</formula>
    </cfRule>
  </conditionalFormatting>
  <conditionalFormatting sqref="K46">
    <cfRule type="expression" dxfId="1463" priority="131">
      <formula>$C46&lt;$E$3</formula>
    </cfRule>
  </conditionalFormatting>
  <conditionalFormatting sqref="K46">
    <cfRule type="expression" dxfId="1462" priority="127">
      <formula>$C46=$E$3</formula>
    </cfRule>
    <cfRule type="expression" dxfId="1461" priority="128">
      <formula>$C46&lt;$E$3</formula>
    </cfRule>
    <cfRule type="cellIs" dxfId="1460" priority="129" operator="equal">
      <formula>0</formula>
    </cfRule>
    <cfRule type="expression" dxfId="1459" priority="130">
      <formula>$C46&gt;$E$3</formula>
    </cfRule>
  </conditionalFormatting>
  <conditionalFormatting sqref="K46">
    <cfRule type="expression" dxfId="1458" priority="126">
      <formula>$C46&lt;$E$3</formula>
    </cfRule>
  </conditionalFormatting>
  <conditionalFormatting sqref="K46">
    <cfRule type="expression" dxfId="1457" priority="122">
      <formula>$C46=$E$3</formula>
    </cfRule>
    <cfRule type="expression" dxfId="1456" priority="123">
      <formula>$C46&lt;$E$3</formula>
    </cfRule>
    <cfRule type="cellIs" dxfId="1455" priority="124" operator="equal">
      <formula>0</formula>
    </cfRule>
    <cfRule type="expression" dxfId="1454" priority="125">
      <formula>$C46&gt;$E$3</formula>
    </cfRule>
  </conditionalFormatting>
  <conditionalFormatting sqref="K46">
    <cfRule type="expression" dxfId="1453" priority="121">
      <formula>$C46&lt;$E$3</formula>
    </cfRule>
  </conditionalFormatting>
  <conditionalFormatting sqref="K46">
    <cfRule type="expression" dxfId="1452" priority="117">
      <formula>$C46=$E$3</formula>
    </cfRule>
    <cfRule type="expression" dxfId="1451" priority="118">
      <formula>$C46&lt;$E$3</formula>
    </cfRule>
    <cfRule type="cellIs" dxfId="1450" priority="119" operator="equal">
      <formula>0</formula>
    </cfRule>
    <cfRule type="expression" dxfId="1449" priority="120">
      <formula>$C46&gt;$E$3</formula>
    </cfRule>
  </conditionalFormatting>
  <conditionalFormatting sqref="K46">
    <cfRule type="expression" dxfId="1448" priority="116">
      <formula>$E46=""</formula>
    </cfRule>
  </conditionalFormatting>
  <conditionalFormatting sqref="K46">
    <cfRule type="expression" dxfId="1447" priority="115">
      <formula>$C46&lt;$E$3</formula>
    </cfRule>
  </conditionalFormatting>
  <conditionalFormatting sqref="K46">
    <cfRule type="expression" dxfId="1446" priority="114">
      <formula>$E46=""</formula>
    </cfRule>
  </conditionalFormatting>
  <conditionalFormatting sqref="K46">
    <cfRule type="expression" dxfId="1445" priority="113">
      <formula>$E46=""</formula>
    </cfRule>
  </conditionalFormatting>
  <conditionalFormatting sqref="K46">
    <cfRule type="expression" dxfId="1444" priority="112">
      <formula>$C46&lt;$E$3</formula>
    </cfRule>
  </conditionalFormatting>
  <conditionalFormatting sqref="K46">
    <cfRule type="expression" dxfId="1443" priority="111">
      <formula>$E46=""</formula>
    </cfRule>
  </conditionalFormatting>
  <conditionalFormatting sqref="K46">
    <cfRule type="expression" dxfId="1442" priority="107">
      <formula>$E46=""</formula>
    </cfRule>
  </conditionalFormatting>
  <conditionalFormatting sqref="K46">
    <cfRule type="expression" dxfId="1441" priority="102">
      <formula>$C46=$E$3</formula>
    </cfRule>
    <cfRule type="expression" dxfId="1440" priority="103">
      <formula>$C46&lt;$E$3</formula>
    </cfRule>
    <cfRule type="cellIs" dxfId="1439" priority="104" operator="equal">
      <formula>0</formula>
    </cfRule>
    <cfRule type="expression" dxfId="1438" priority="105">
      <formula>$C46&gt;$E$3</formula>
    </cfRule>
  </conditionalFormatting>
  <conditionalFormatting sqref="K46">
    <cfRule type="expression" dxfId="1437" priority="101">
      <formula>$C46&lt;$E$3</formula>
    </cfRule>
  </conditionalFormatting>
  <conditionalFormatting sqref="K46">
    <cfRule type="expression" dxfId="1436" priority="97">
      <formula>$C46=$E$3</formula>
    </cfRule>
    <cfRule type="expression" dxfId="1435" priority="98">
      <formula>$C46&lt;$E$3</formula>
    </cfRule>
    <cfRule type="cellIs" dxfId="1434" priority="99" operator="equal">
      <formula>0</formula>
    </cfRule>
    <cfRule type="expression" dxfId="1433" priority="100">
      <formula>$C46&gt;$E$3</formula>
    </cfRule>
  </conditionalFormatting>
  <conditionalFormatting sqref="K46">
    <cfRule type="expression" dxfId="1432" priority="96">
      <formula>$C46&lt;$E$3</formula>
    </cfRule>
  </conditionalFormatting>
  <conditionalFormatting sqref="K46">
    <cfRule type="expression" dxfId="1431" priority="92">
      <formula>$C46=$E$3</formula>
    </cfRule>
    <cfRule type="expression" dxfId="1430" priority="93">
      <formula>$C46&lt;$E$3</formula>
    </cfRule>
    <cfRule type="cellIs" dxfId="1429" priority="94" operator="equal">
      <formula>0</formula>
    </cfRule>
    <cfRule type="expression" dxfId="1428" priority="95">
      <formula>$C46&gt;$E$3</formula>
    </cfRule>
  </conditionalFormatting>
  <conditionalFormatting sqref="K46">
    <cfRule type="expression" dxfId="1427" priority="91">
      <formula>$C46&lt;$E$3</formula>
    </cfRule>
  </conditionalFormatting>
  <conditionalFormatting sqref="K46">
    <cfRule type="expression" dxfId="1426" priority="87">
      <formula>$C46=$E$3</formula>
    </cfRule>
    <cfRule type="expression" dxfId="1425" priority="88">
      <formula>$C46&lt;$E$3</formula>
    </cfRule>
    <cfRule type="cellIs" dxfId="1424" priority="89" operator="equal">
      <formula>0</formula>
    </cfRule>
    <cfRule type="expression" dxfId="1423" priority="90">
      <formula>$C46&gt;$E$3</formula>
    </cfRule>
  </conditionalFormatting>
  <conditionalFormatting sqref="K46">
    <cfRule type="expression" dxfId="1422" priority="86">
      <formula>$E46=""</formula>
    </cfRule>
  </conditionalFormatting>
  <conditionalFormatting sqref="K46">
    <cfRule type="expression" dxfId="1421" priority="85">
      <formula>$C46&lt;$E$3</formula>
    </cfRule>
  </conditionalFormatting>
  <conditionalFormatting sqref="K46">
    <cfRule type="expression" dxfId="1420" priority="84">
      <formula>$E46=""</formula>
    </cfRule>
  </conditionalFormatting>
  <conditionalFormatting sqref="K46">
    <cfRule type="expression" dxfId="1419" priority="83">
      <formula>$E46=""</formula>
    </cfRule>
  </conditionalFormatting>
  <conditionalFormatting sqref="K46">
    <cfRule type="expression" dxfId="1418" priority="82">
      <formula>$C46&lt;$E$3</formula>
    </cfRule>
  </conditionalFormatting>
  <conditionalFormatting sqref="K46">
    <cfRule type="expression" dxfId="1417" priority="81">
      <formula>$E46=""</formula>
    </cfRule>
  </conditionalFormatting>
  <conditionalFormatting sqref="K46">
    <cfRule type="expression" dxfId="1416" priority="77">
      <formula>$E46=""</formula>
    </cfRule>
  </conditionalFormatting>
  <conditionalFormatting sqref="K41:K45">
    <cfRule type="expression" dxfId="1415" priority="72">
      <formula>$C41=$E$3</formula>
    </cfRule>
    <cfRule type="expression" dxfId="1414" priority="73">
      <formula>$C41&lt;$E$3</formula>
    </cfRule>
    <cfRule type="cellIs" dxfId="1413" priority="74" operator="equal">
      <formula>0</formula>
    </cfRule>
    <cfRule type="expression" dxfId="1412" priority="75">
      <formula>$C41&gt;$E$3</formula>
    </cfRule>
  </conditionalFormatting>
  <conditionalFormatting sqref="K41:K45">
    <cfRule type="expression" dxfId="1411" priority="71">
      <formula>$C41&lt;$E$3</formula>
    </cfRule>
  </conditionalFormatting>
  <conditionalFormatting sqref="K41:K45">
    <cfRule type="expression" dxfId="1410" priority="67">
      <formula>$C41=$E$3</formula>
    </cfRule>
    <cfRule type="expression" dxfId="1409" priority="68">
      <formula>$C41&lt;$E$3</formula>
    </cfRule>
    <cfRule type="cellIs" dxfId="1408" priority="69" operator="equal">
      <formula>0</formula>
    </cfRule>
    <cfRule type="expression" dxfId="1407" priority="70">
      <formula>$C41&gt;$E$3</formula>
    </cfRule>
  </conditionalFormatting>
  <conditionalFormatting sqref="K41:K45">
    <cfRule type="expression" dxfId="1406" priority="66">
      <formula>$C41&lt;$E$3</formula>
    </cfRule>
  </conditionalFormatting>
  <conditionalFormatting sqref="K41:K45">
    <cfRule type="expression" dxfId="1405" priority="62">
      <formula>$C41=$E$3</formula>
    </cfRule>
    <cfRule type="expression" dxfId="1404" priority="63">
      <formula>$C41&lt;$E$3</formula>
    </cfRule>
    <cfRule type="cellIs" dxfId="1403" priority="64" operator="equal">
      <formula>0</formula>
    </cfRule>
    <cfRule type="expression" dxfId="1402" priority="65">
      <formula>$C41&gt;$E$3</formula>
    </cfRule>
  </conditionalFormatting>
  <conditionalFormatting sqref="K41:K45">
    <cfRule type="expression" dxfId="1401" priority="61">
      <formula>$C41&lt;$E$3</formula>
    </cfRule>
  </conditionalFormatting>
  <conditionalFormatting sqref="K41:K45">
    <cfRule type="expression" dxfId="1400" priority="57">
      <formula>$C41=$E$3</formula>
    </cfRule>
    <cfRule type="expression" dxfId="1399" priority="58">
      <formula>$C41&lt;$E$3</formula>
    </cfRule>
    <cfRule type="cellIs" dxfId="1398" priority="59" operator="equal">
      <formula>0</formula>
    </cfRule>
    <cfRule type="expression" dxfId="1397" priority="60">
      <formula>$C41&gt;$E$3</formula>
    </cfRule>
  </conditionalFormatting>
  <conditionalFormatting sqref="K41:K45">
    <cfRule type="expression" dxfId="1396" priority="56">
      <formula>$E41=""</formula>
    </cfRule>
  </conditionalFormatting>
  <conditionalFormatting sqref="K41:K45">
    <cfRule type="expression" dxfId="1395" priority="55">
      <formula>$C41&lt;$E$3</formula>
    </cfRule>
  </conditionalFormatting>
  <conditionalFormatting sqref="K41:K45">
    <cfRule type="expression" dxfId="1394" priority="54">
      <formula>$E41=""</formula>
    </cfRule>
  </conditionalFormatting>
  <conditionalFormatting sqref="K41:K45">
    <cfRule type="expression" dxfId="1393" priority="53">
      <formula>$E41=""</formula>
    </cfRule>
  </conditionalFormatting>
  <conditionalFormatting sqref="K41:K45">
    <cfRule type="expression" dxfId="1392" priority="52">
      <formula>$C41&lt;$E$3</formula>
    </cfRule>
  </conditionalFormatting>
  <conditionalFormatting sqref="K41:K45">
    <cfRule type="expression" dxfId="1391" priority="51">
      <formula>$E41=""</formula>
    </cfRule>
  </conditionalFormatting>
  <conditionalFormatting sqref="K41:K45">
    <cfRule type="expression" dxfId="1390" priority="47">
      <formula>$E41=""</formula>
    </cfRule>
  </conditionalFormatting>
  <conditionalFormatting sqref="K41:K45">
    <cfRule type="expression" dxfId="1389" priority="42">
      <formula>$C41=$E$3</formula>
    </cfRule>
    <cfRule type="expression" dxfId="1388" priority="43">
      <formula>$C41&lt;$E$3</formula>
    </cfRule>
    <cfRule type="cellIs" dxfId="1387" priority="44" operator="equal">
      <formula>0</formula>
    </cfRule>
    <cfRule type="expression" dxfId="1386" priority="45">
      <formula>$C41&gt;$E$3</formula>
    </cfRule>
  </conditionalFormatting>
  <conditionalFormatting sqref="K41:K45">
    <cfRule type="expression" dxfId="1385" priority="41">
      <formula>$C41&lt;$E$3</formula>
    </cfRule>
  </conditionalFormatting>
  <conditionalFormatting sqref="K41:K45">
    <cfRule type="expression" dxfId="1384" priority="37">
      <formula>$C41=$E$3</formula>
    </cfRule>
    <cfRule type="expression" dxfId="1383" priority="38">
      <formula>$C41&lt;$E$3</formula>
    </cfRule>
    <cfRule type="cellIs" dxfId="1382" priority="39" operator="equal">
      <formula>0</formula>
    </cfRule>
    <cfRule type="expression" dxfId="1381" priority="40">
      <formula>$C41&gt;$E$3</formula>
    </cfRule>
  </conditionalFormatting>
  <conditionalFormatting sqref="K41:K45">
    <cfRule type="expression" dxfId="1380" priority="36">
      <formula>$C41&lt;$E$3</formula>
    </cfRule>
  </conditionalFormatting>
  <conditionalFormatting sqref="K41:K45">
    <cfRule type="expression" dxfId="1379" priority="32">
      <formula>$C41=$E$3</formula>
    </cfRule>
    <cfRule type="expression" dxfId="1378" priority="33">
      <formula>$C41&lt;$E$3</formula>
    </cfRule>
    <cfRule type="cellIs" dxfId="1377" priority="34" operator="equal">
      <formula>0</formula>
    </cfRule>
    <cfRule type="expression" dxfId="1376" priority="35">
      <formula>$C41&gt;$E$3</formula>
    </cfRule>
  </conditionalFormatting>
  <conditionalFormatting sqref="K41:K45">
    <cfRule type="expression" dxfId="1375" priority="31">
      <formula>$C41&lt;$E$3</formula>
    </cfRule>
  </conditionalFormatting>
  <conditionalFormatting sqref="K41:K45">
    <cfRule type="expression" dxfId="1374" priority="27">
      <formula>$C41=$E$3</formula>
    </cfRule>
    <cfRule type="expression" dxfId="1373" priority="28">
      <formula>$C41&lt;$E$3</formula>
    </cfRule>
    <cfRule type="cellIs" dxfId="1372" priority="29" operator="equal">
      <formula>0</formula>
    </cfRule>
    <cfRule type="expression" dxfId="1371" priority="30">
      <formula>$C41&gt;$E$3</formula>
    </cfRule>
  </conditionalFormatting>
  <conditionalFormatting sqref="K41:K45">
    <cfRule type="expression" dxfId="1370" priority="26">
      <formula>$E41=""</formula>
    </cfRule>
  </conditionalFormatting>
  <conditionalFormatting sqref="K41:K45">
    <cfRule type="expression" dxfId="1369" priority="25">
      <formula>$C41&lt;$E$3</formula>
    </cfRule>
  </conditionalFormatting>
  <conditionalFormatting sqref="K41:K45">
    <cfRule type="expression" dxfId="1368" priority="24">
      <formula>$E41=""</formula>
    </cfRule>
  </conditionalFormatting>
  <conditionalFormatting sqref="K41:K45">
    <cfRule type="expression" dxfId="1367" priority="23">
      <formula>$E41=""</formula>
    </cfRule>
  </conditionalFormatting>
  <conditionalFormatting sqref="K41:K45">
    <cfRule type="expression" dxfId="1366" priority="22">
      <formula>$C41&lt;$E$3</formula>
    </cfRule>
  </conditionalFormatting>
  <conditionalFormatting sqref="K41:K45">
    <cfRule type="expression" dxfId="1365" priority="21">
      <formula>$E41=""</formula>
    </cfRule>
  </conditionalFormatting>
  <conditionalFormatting sqref="K41:K45">
    <cfRule type="expression" dxfId="1364" priority="20">
      <formula>$C41&lt;$E$3</formula>
    </cfRule>
  </conditionalFormatting>
  <conditionalFormatting sqref="K41:K45">
    <cfRule type="expression" dxfId="1363" priority="19">
      <formula>$E41=""</formula>
    </cfRule>
  </conditionalFormatting>
  <conditionalFormatting sqref="K41:K45">
    <cfRule type="expression" dxfId="1362" priority="18">
      <formula>$C41&lt;$E$3</formula>
    </cfRule>
  </conditionalFormatting>
  <conditionalFormatting sqref="K41:K45">
    <cfRule type="expression" dxfId="1361" priority="17">
      <formula>$E41=""</formula>
    </cfRule>
  </conditionalFormatting>
  <conditionalFormatting sqref="K41:K47">
    <cfRule type="expression" dxfId="1360" priority="15">
      <formula>$C41&lt;$E$3</formula>
    </cfRule>
  </conditionalFormatting>
  <conditionalFormatting sqref="K41:K47">
    <cfRule type="expression" dxfId="1359" priority="12">
      <formula>$C41=$E$3</formula>
    </cfRule>
    <cfRule type="expression" dxfId="1358" priority="13">
      <formula>$C41&lt;$E$3</formula>
    </cfRule>
    <cfRule type="cellIs" dxfId="1357" priority="14" operator="equal">
      <formula>0</formula>
    </cfRule>
    <cfRule type="expression" dxfId="1356" priority="16">
      <formula>$C41&gt;$E$3</formula>
    </cfRule>
  </conditionalFormatting>
  <conditionalFormatting sqref="K41:K47">
    <cfRule type="expression" dxfId="1355" priority="11">
      <formula>$E41=""</formula>
    </cfRule>
  </conditionalFormatting>
  <conditionalFormatting sqref="K41:K47">
    <cfRule type="expression" dxfId="1354" priority="10">
      <formula>$E41=""</formula>
    </cfRule>
  </conditionalFormatting>
  <conditionalFormatting sqref="K41:K47">
    <cfRule type="expression" dxfId="1353" priority="9">
      <formula>$E41=""</formula>
    </cfRule>
  </conditionalFormatting>
  <conditionalFormatting sqref="N20 N18 N16">
    <cfRule type="cellIs" dxfId="1352" priority="8" stopIfTrue="1" operator="lessThan">
      <formula>0</formula>
    </cfRule>
  </conditionalFormatting>
  <conditionalFormatting sqref="N23 N27:N28">
    <cfRule type="cellIs" dxfId="1351" priority="7" stopIfTrue="1" operator="lessThan">
      <formula>0</formula>
    </cfRule>
  </conditionalFormatting>
  <conditionalFormatting sqref="N32:N34 N36 N38">
    <cfRule type="cellIs" dxfId="1350" priority="6" stopIfTrue="1" operator="lessThan">
      <formula>0</formula>
    </cfRule>
  </conditionalFormatting>
  <conditionalFormatting sqref="N41:N47">
    <cfRule type="cellIs" dxfId="1349" priority="5" stopIfTrue="1" operator="lessThan">
      <formula>0</formula>
    </cfRule>
  </conditionalFormatting>
  <conditionalFormatting sqref="N29">
    <cfRule type="cellIs" dxfId="1348" priority="4" stopIfTrue="1" operator="lessThan">
      <formula>0</formula>
    </cfRule>
  </conditionalFormatting>
  <conditionalFormatting sqref="N25">
    <cfRule type="cellIs" dxfId="1347" priority="3" stopIfTrue="1" operator="lessThan">
      <formula>0</formula>
    </cfRule>
  </conditionalFormatting>
  <conditionalFormatting sqref="N26">
    <cfRule type="cellIs" dxfId="1346" priority="2" stopIfTrue="1" operator="lessThan">
      <formula>0</formula>
    </cfRule>
  </conditionalFormatting>
  <conditionalFormatting sqref="N24">
    <cfRule type="cellIs" dxfId="1345" priority="1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H68"/>
  <sheetViews>
    <sheetView workbookViewId="0">
      <selection activeCell="N44" sqref="N44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8.1640625" customWidth="1"/>
    <col min="11" max="11" width="8.1640625" hidden="1" customWidth="1"/>
    <col min="12" max="12" width="8.16406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1" width="10.33203125" bestFit="1" customWidth="1"/>
    <col min="33" max="33" width="10.6640625" bestFit="1" customWidth="1"/>
  </cols>
  <sheetData>
    <row r="1" spans="1:34" ht="53.25" customHeight="1" thickBot="1">
      <c r="A1" s="176">
        <v>12</v>
      </c>
      <c r="B1" s="40" t="s">
        <v>0</v>
      </c>
      <c r="C1" s="41"/>
      <c r="D1" s="41"/>
      <c r="E1" s="193" t="str">
        <f>VLOOKUP(A1,'MY STATS'!$B$32:$E$43,4)</f>
        <v>Dec.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168" t="s">
        <v>25</v>
      </c>
      <c r="P1" s="170" t="s">
        <v>26</v>
      </c>
      <c r="Q1" s="170" t="s">
        <v>26</v>
      </c>
      <c r="R1" s="181" t="s">
        <v>32</v>
      </c>
      <c r="S1" s="194" t="s">
        <v>115</v>
      </c>
      <c r="T1" s="181"/>
      <c r="U1" s="181"/>
      <c r="V1" s="181" t="s">
        <v>84</v>
      </c>
      <c r="W1" s="181" t="s">
        <v>85</v>
      </c>
      <c r="X1" s="170" t="s">
        <v>24</v>
      </c>
      <c r="Y1" s="170" t="s">
        <v>21</v>
      </c>
      <c r="Z1" s="170" t="s">
        <v>22</v>
      </c>
      <c r="AA1" s="182" t="s">
        <v>23</v>
      </c>
      <c r="AB1" s="79"/>
      <c r="AC1" s="76"/>
      <c r="AD1" s="76"/>
      <c r="AE1" s="76"/>
      <c r="AF1" s="76"/>
      <c r="AG1" s="76"/>
    </row>
    <row r="2" spans="1:34" ht="36" hidden="1" thickTop="1" thickBot="1">
      <c r="A2" s="54" t="s">
        <v>64</v>
      </c>
      <c r="B2" s="21">
        <f>VLOOKUP(A1,'MY STATS'!$B$32:$G$43,3)</f>
        <v>45627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183"/>
      <c r="P2" s="79"/>
      <c r="Q2" s="79"/>
      <c r="R2" s="184">
        <f>'MY STATS'!A16</f>
        <v>3</v>
      </c>
      <c r="S2" s="184"/>
      <c r="T2" s="184"/>
      <c r="U2" s="184"/>
      <c r="V2" s="184"/>
      <c r="W2" s="184"/>
      <c r="X2" s="79"/>
      <c r="Y2" s="79"/>
      <c r="Z2" s="95"/>
      <c r="AA2" s="95"/>
      <c r="AB2" s="79"/>
      <c r="AC2" s="76"/>
      <c r="AD2" s="76"/>
      <c r="AE2" s="76"/>
      <c r="AF2" s="76"/>
      <c r="AG2" s="76"/>
    </row>
    <row r="3" spans="1:34" ht="18" hidden="1" thickTop="1" thickBot="1">
      <c r="A3" s="75">
        <f>'MY STATS'!D44</f>
        <v>45658</v>
      </c>
      <c r="B3" s="21">
        <f>VLOOKUP(A1+1,'MY STATS'!$B$32:$G$44,3)-1</f>
        <v>45657</v>
      </c>
      <c r="C3" s="21">
        <f>VLOOKUP(A1,'MY STATS'!$B$32:$G$43,2)</f>
        <v>45621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183"/>
      <c r="P3" s="79"/>
      <c r="Q3" s="79"/>
      <c r="R3" s="184"/>
      <c r="S3" s="184"/>
      <c r="T3" s="184"/>
      <c r="U3" s="184"/>
      <c r="V3" s="184"/>
      <c r="W3" s="184"/>
      <c r="X3" s="79"/>
      <c r="Y3" s="79"/>
      <c r="Z3" s="95"/>
      <c r="AA3" s="95"/>
      <c r="AB3" s="79"/>
      <c r="AC3" s="76"/>
      <c r="AD3" s="76"/>
      <c r="AE3" s="76"/>
      <c r="AF3" s="76"/>
      <c r="AG3" s="76"/>
    </row>
    <row r="4" spans="1:34" ht="14" hidden="1" customHeight="1" thickTop="1" thickBot="1">
      <c r="A4"/>
      <c r="C4" s="28">
        <f>C3-1</f>
        <v>45620</v>
      </c>
      <c r="D4"/>
      <c r="O4" s="185"/>
      <c r="P4" s="172">
        <f t="shared" ref="P4:P11" si="0">H$56</f>
        <v>410381.75672653614</v>
      </c>
      <c r="Q4" s="128">
        <f>IF(R$2=3,P4,IF(R$2=2,P4*1.0936,IF(R$2=1,P4*0.000568181818*1.0936133,"")))</f>
        <v>410381.75672653614</v>
      </c>
      <c r="R4" s="169"/>
      <c r="S4" s="169"/>
      <c r="T4" s="169"/>
      <c r="U4" s="169"/>
      <c r="V4" s="169"/>
      <c r="W4" s="169"/>
      <c r="X4" s="172"/>
      <c r="Y4" s="172"/>
      <c r="Z4" s="171">
        <v>0</v>
      </c>
      <c r="AA4" s="95"/>
      <c r="AB4" s="79">
        <v>0</v>
      </c>
      <c r="AC4" s="76"/>
      <c r="AD4" s="76"/>
      <c r="AE4" s="76"/>
      <c r="AF4" s="76"/>
      <c r="AG4" s="76"/>
    </row>
    <row r="5" spans="1:34" ht="17" thickTop="1">
      <c r="A5" s="22"/>
      <c r="B5" s="19">
        <f>IF(B$2&gt;C5,0,C5)</f>
        <v>0</v>
      </c>
      <c r="C5" s="28">
        <f>C3</f>
        <v>45621</v>
      </c>
      <c r="D5" s="20">
        <f t="shared" ref="D5:D51" ca="1" si="1">TODAY()-C5</f>
        <v>-330</v>
      </c>
      <c r="E5" s="91" t="str">
        <f>IF(B5=0,"","Monday")</f>
        <v/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71" t="str">
        <f t="shared" ref="O5:O51" si="3">IF(B5=0,"",(F$3-G$3)/(A$3-B$2)+0.1)</f>
        <v/>
      </c>
      <c r="P5" s="172">
        <f t="shared" si="0"/>
        <v>410381.75672653614</v>
      </c>
      <c r="Q5" s="128">
        <f t="shared" ref="Q5:Q51" si="4">IF(R$2=3,P5,IF(R$2=2,P5*1.0936,IF(R$2=1,P5*0.000568181818*1.0936133,"")))</f>
        <v>410381.75672653614</v>
      </c>
      <c r="R5" s="128">
        <f>IF(R$2=3,H5+G5/1.0936133+F5/0.0006213712,IF(R$2=2,H5*1.0936133+G5+F5/0.0005681818,IF(R$2=1,H5*0.0005681818*1.0936133+G5*0.0005681818+F5,"")))</f>
        <v>0</v>
      </c>
      <c r="S5" s="195" t="str">
        <f>IF(R5=0,"",R5*IF(L5&gt;0,1,0))</f>
        <v/>
      </c>
      <c r="T5" s="128"/>
      <c r="U5" s="128"/>
      <c r="V5" s="129" t="str">
        <f t="shared" ref="V5:V11" si="5">IF(L5="","",IF(R5=0,"",IF(B5=0,"",IF($R$2=3,R5/L5*60/1000,IF($R$2=2,R5/L5*60/1760,IF($R$2=1,R5/L5*60,""))))))</f>
        <v/>
      </c>
      <c r="W5" s="129" t="str">
        <f t="shared" ref="W5:W11" si="6">IF(R5=0,"",IF(L5="","",V5*L5))</f>
        <v/>
      </c>
      <c r="X5" s="171">
        <f t="shared" ref="X5:Z11" si="7">F5+X4</f>
        <v>0</v>
      </c>
      <c r="Y5" s="171">
        <f t="shared" si="7"/>
        <v>0</v>
      </c>
      <c r="Z5" s="171">
        <f t="shared" si="7"/>
        <v>0</v>
      </c>
      <c r="AA5" s="186">
        <f t="shared" ref="AA5:AA51" si="8">Z5/1000+Y5/1093.6133+X5/0.621371192</f>
        <v>0</v>
      </c>
      <c r="AB5" s="187">
        <f>R5</f>
        <v>0</v>
      </c>
      <c r="AC5" s="76"/>
      <c r="AD5" s="76"/>
      <c r="AE5" s="76"/>
      <c r="AF5" s="76"/>
      <c r="AG5" s="76"/>
    </row>
    <row r="6" spans="1:34">
      <c r="A6" s="23"/>
      <c r="B6" s="4">
        <f t="shared" ref="B6:B11" si="9">IF(B$2&gt;C6,0,C6)</f>
        <v>0</v>
      </c>
      <c r="C6" s="29">
        <f>C3+1</f>
        <v>45622</v>
      </c>
      <c r="D6" s="6">
        <f t="shared" ca="1" si="1"/>
        <v>-331</v>
      </c>
      <c r="E6" s="90" t="str">
        <f>IF(B6=0,"","Tuesday")</f>
        <v/>
      </c>
      <c r="F6" s="45"/>
      <c r="G6" s="46"/>
      <c r="H6" s="46"/>
      <c r="I6" s="151"/>
      <c r="J6" s="46"/>
      <c r="K6" s="152" t="str">
        <f t="shared" ref="K6:K11" si="10">IF(R6=0,"",IF(L6="","",J6))</f>
        <v/>
      </c>
      <c r="L6" s="46"/>
      <c r="M6" s="46" t="str">
        <f t="shared" si="2"/>
        <v/>
      </c>
      <c r="N6" s="301"/>
      <c r="O6" s="171" t="str">
        <f t="shared" si="3"/>
        <v/>
      </c>
      <c r="P6" s="172">
        <f t="shared" si="0"/>
        <v>410381.75672653614</v>
      </c>
      <c r="Q6" s="128">
        <f t="shared" si="4"/>
        <v>410381.75672653614</v>
      </c>
      <c r="R6" s="128">
        <f t="shared" ref="R6:R11" si="11">IF(R$2=3,H6+G6/1.0936133+F6/0.0006213712,IF(R$2=2,H6*1.0936133+G6+F6/0.0005681818,IF(R$2=1,H6*0.0005681818*1.0936133+G6*0.0005681818+F6,"")))</f>
        <v>0</v>
      </c>
      <c r="S6" s="195" t="str">
        <f t="shared" ref="S6:S51" si="12">IF(R6=0,"",R6*IF(L6&gt;0,1,0))</f>
        <v/>
      </c>
      <c r="T6" s="128"/>
      <c r="U6" s="128"/>
      <c r="V6" s="129" t="str">
        <f t="shared" si="5"/>
        <v/>
      </c>
      <c r="W6" s="129" t="str">
        <f t="shared" si="6"/>
        <v/>
      </c>
      <c r="X6" s="171">
        <f t="shared" si="7"/>
        <v>0</v>
      </c>
      <c r="Y6" s="171">
        <f t="shared" si="7"/>
        <v>0</v>
      </c>
      <c r="Z6" s="171">
        <f t="shared" si="7"/>
        <v>0</v>
      </c>
      <c r="AA6" s="186">
        <f t="shared" si="8"/>
        <v>0</v>
      </c>
      <c r="AB6" s="173">
        <f t="shared" ref="AB6:AB51" si="13">AB5+R6</f>
        <v>0</v>
      </c>
      <c r="AC6" s="76"/>
      <c r="AD6" s="76"/>
      <c r="AE6" s="76"/>
      <c r="AF6" s="76"/>
      <c r="AG6" s="76"/>
      <c r="AH6" s="9"/>
    </row>
    <row r="7" spans="1:34">
      <c r="A7" s="23"/>
      <c r="B7" s="4">
        <f t="shared" si="9"/>
        <v>0</v>
      </c>
      <c r="C7" s="29">
        <f>C3+2</f>
        <v>45623</v>
      </c>
      <c r="D7" s="6">
        <f t="shared" ca="1" si="1"/>
        <v>-332</v>
      </c>
      <c r="E7" s="90" t="str">
        <f>IF(B7=0,"","Wednesday")</f>
        <v/>
      </c>
      <c r="F7" s="45"/>
      <c r="G7" s="46"/>
      <c r="H7" s="46"/>
      <c r="I7" s="151"/>
      <c r="J7" s="46"/>
      <c r="K7" s="152" t="str">
        <f t="shared" si="10"/>
        <v/>
      </c>
      <c r="L7" s="46"/>
      <c r="M7" s="46" t="str">
        <f t="shared" si="2"/>
        <v/>
      </c>
      <c r="N7" s="310"/>
      <c r="O7" s="171" t="str">
        <f t="shared" si="3"/>
        <v/>
      </c>
      <c r="P7" s="172">
        <f t="shared" si="0"/>
        <v>410381.75672653614</v>
      </c>
      <c r="Q7" s="128">
        <f t="shared" si="4"/>
        <v>410381.75672653614</v>
      </c>
      <c r="R7" s="128">
        <f t="shared" si="11"/>
        <v>0</v>
      </c>
      <c r="S7" s="195" t="str">
        <f t="shared" si="12"/>
        <v/>
      </c>
      <c r="T7" s="128"/>
      <c r="U7" s="128"/>
      <c r="V7" s="129" t="str">
        <f t="shared" si="5"/>
        <v/>
      </c>
      <c r="W7" s="129" t="str">
        <f t="shared" si="6"/>
        <v/>
      </c>
      <c r="X7" s="171">
        <f t="shared" si="7"/>
        <v>0</v>
      </c>
      <c r="Y7" s="171">
        <f t="shared" si="7"/>
        <v>0</v>
      </c>
      <c r="Z7" s="171">
        <f t="shared" si="7"/>
        <v>0</v>
      </c>
      <c r="AA7" s="186">
        <f t="shared" si="8"/>
        <v>0</v>
      </c>
      <c r="AB7" s="173">
        <f t="shared" si="13"/>
        <v>0</v>
      </c>
      <c r="AC7" s="76"/>
      <c r="AD7" s="76"/>
      <c r="AE7" s="76"/>
      <c r="AF7" s="76"/>
      <c r="AG7" s="76"/>
    </row>
    <row r="8" spans="1:34">
      <c r="A8" s="23"/>
      <c r="B8" s="4">
        <f t="shared" si="9"/>
        <v>0</v>
      </c>
      <c r="C8" s="29">
        <f>C3+3</f>
        <v>45624</v>
      </c>
      <c r="D8" s="6">
        <f t="shared" ca="1" si="1"/>
        <v>-333</v>
      </c>
      <c r="E8" s="90" t="str">
        <f>IF(B8=0,"","Thursday")</f>
        <v/>
      </c>
      <c r="F8" s="45"/>
      <c r="G8" s="46"/>
      <c r="H8" s="46"/>
      <c r="I8" s="151"/>
      <c r="J8" s="46"/>
      <c r="K8" s="152" t="str">
        <f t="shared" si="10"/>
        <v/>
      </c>
      <c r="L8" s="46"/>
      <c r="M8" s="46" t="str">
        <f t="shared" si="2"/>
        <v/>
      </c>
      <c r="N8" s="310"/>
      <c r="O8" s="171" t="str">
        <f t="shared" si="3"/>
        <v/>
      </c>
      <c r="P8" s="172">
        <f t="shared" si="0"/>
        <v>410381.75672653614</v>
      </c>
      <c r="Q8" s="128">
        <f t="shared" si="4"/>
        <v>410381.75672653614</v>
      </c>
      <c r="R8" s="128">
        <f t="shared" si="11"/>
        <v>0</v>
      </c>
      <c r="S8" s="195" t="str">
        <f t="shared" si="12"/>
        <v/>
      </c>
      <c r="T8" s="128"/>
      <c r="U8" s="128"/>
      <c r="V8" s="129" t="str">
        <f t="shared" si="5"/>
        <v/>
      </c>
      <c r="W8" s="129" t="str">
        <f t="shared" si="6"/>
        <v/>
      </c>
      <c r="X8" s="171">
        <f t="shared" si="7"/>
        <v>0</v>
      </c>
      <c r="Y8" s="171">
        <f t="shared" si="7"/>
        <v>0</v>
      </c>
      <c r="Z8" s="171">
        <f t="shared" si="7"/>
        <v>0</v>
      </c>
      <c r="AA8" s="186">
        <f t="shared" si="8"/>
        <v>0</v>
      </c>
      <c r="AB8" s="173">
        <f t="shared" si="13"/>
        <v>0</v>
      </c>
      <c r="AC8" s="76"/>
      <c r="AD8" s="76"/>
      <c r="AE8" s="76"/>
      <c r="AF8" s="76"/>
      <c r="AG8" s="76"/>
    </row>
    <row r="9" spans="1:34">
      <c r="A9" s="23"/>
      <c r="B9" s="4">
        <f t="shared" si="9"/>
        <v>0</v>
      </c>
      <c r="C9" s="29">
        <f>C3+4</f>
        <v>45625</v>
      </c>
      <c r="D9" s="6">
        <f t="shared" ca="1" si="1"/>
        <v>-334</v>
      </c>
      <c r="E9" s="90" t="str">
        <f>IF(B9=0,"","Friday")</f>
        <v/>
      </c>
      <c r="F9" s="45"/>
      <c r="G9" s="46"/>
      <c r="H9" s="46"/>
      <c r="I9" s="151"/>
      <c r="J9" s="46"/>
      <c r="K9" s="152" t="str">
        <f t="shared" si="10"/>
        <v/>
      </c>
      <c r="L9" s="46"/>
      <c r="M9" s="46" t="str">
        <f t="shared" si="2"/>
        <v/>
      </c>
      <c r="N9" s="301"/>
      <c r="O9" s="171" t="str">
        <f t="shared" si="3"/>
        <v/>
      </c>
      <c r="P9" s="172">
        <f t="shared" si="0"/>
        <v>410381.75672653614</v>
      </c>
      <c r="Q9" s="128">
        <f t="shared" si="4"/>
        <v>410381.75672653614</v>
      </c>
      <c r="R9" s="128">
        <f t="shared" si="11"/>
        <v>0</v>
      </c>
      <c r="S9" s="195" t="str">
        <f t="shared" si="12"/>
        <v/>
      </c>
      <c r="T9" s="128"/>
      <c r="U9" s="128"/>
      <c r="V9" s="129" t="str">
        <f t="shared" si="5"/>
        <v/>
      </c>
      <c r="W9" s="129" t="str">
        <f t="shared" si="6"/>
        <v/>
      </c>
      <c r="X9" s="171">
        <f t="shared" si="7"/>
        <v>0</v>
      </c>
      <c r="Y9" s="171">
        <f t="shared" si="7"/>
        <v>0</v>
      </c>
      <c r="Z9" s="171">
        <f t="shared" si="7"/>
        <v>0</v>
      </c>
      <c r="AA9" s="186">
        <f t="shared" si="8"/>
        <v>0</v>
      </c>
      <c r="AB9" s="173">
        <f t="shared" si="13"/>
        <v>0</v>
      </c>
      <c r="AC9" s="76"/>
      <c r="AD9" s="76"/>
      <c r="AE9" s="76"/>
      <c r="AF9" s="76"/>
      <c r="AG9" s="76"/>
    </row>
    <row r="10" spans="1:34">
      <c r="A10" s="23"/>
      <c r="B10" s="4">
        <f t="shared" si="9"/>
        <v>0</v>
      </c>
      <c r="C10" s="29">
        <f>C3+5</f>
        <v>45626</v>
      </c>
      <c r="D10" s="6">
        <f t="shared" ca="1" si="1"/>
        <v>-335</v>
      </c>
      <c r="E10" s="90" t="str">
        <f>IF(B10=0,"","Saturday")</f>
        <v/>
      </c>
      <c r="F10" s="45"/>
      <c r="G10" s="46"/>
      <c r="H10" s="46"/>
      <c r="I10" s="151"/>
      <c r="J10" s="46"/>
      <c r="K10" s="152" t="str">
        <f t="shared" si="10"/>
        <v/>
      </c>
      <c r="L10" s="46"/>
      <c r="M10" s="46" t="str">
        <f t="shared" si="2"/>
        <v/>
      </c>
      <c r="N10" s="310"/>
      <c r="O10" s="171" t="str">
        <f t="shared" si="3"/>
        <v/>
      </c>
      <c r="P10" s="172">
        <f t="shared" si="0"/>
        <v>410381.75672653614</v>
      </c>
      <c r="Q10" s="128">
        <f t="shared" si="4"/>
        <v>410381.75672653614</v>
      </c>
      <c r="R10" s="128">
        <f t="shared" si="11"/>
        <v>0</v>
      </c>
      <c r="S10" s="195" t="str">
        <f t="shared" si="12"/>
        <v/>
      </c>
      <c r="T10" s="128"/>
      <c r="U10" s="128"/>
      <c r="V10" s="129" t="str">
        <f t="shared" si="5"/>
        <v/>
      </c>
      <c r="W10" s="129" t="str">
        <f t="shared" si="6"/>
        <v/>
      </c>
      <c r="X10" s="171">
        <f t="shared" si="7"/>
        <v>0</v>
      </c>
      <c r="Y10" s="171">
        <f t="shared" si="7"/>
        <v>0</v>
      </c>
      <c r="Z10" s="171">
        <f t="shared" si="7"/>
        <v>0</v>
      </c>
      <c r="AA10" s="186">
        <f t="shared" si="8"/>
        <v>0</v>
      </c>
      <c r="AB10" s="173">
        <f t="shared" si="13"/>
        <v>0</v>
      </c>
      <c r="AC10" s="76"/>
      <c r="AD10" s="76"/>
      <c r="AE10" s="76"/>
      <c r="AF10" s="76"/>
      <c r="AG10" s="76"/>
    </row>
    <row r="11" spans="1:34" ht="17" thickBot="1">
      <c r="A11" s="23"/>
      <c r="B11" s="43">
        <f t="shared" si="9"/>
        <v>45627</v>
      </c>
      <c r="C11" s="32">
        <f>C3+6</f>
        <v>45627</v>
      </c>
      <c r="D11" s="44">
        <f t="shared" ca="1" si="1"/>
        <v>-336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0"/>
        <v/>
      </c>
      <c r="L11" s="46"/>
      <c r="M11" s="46" t="str">
        <f t="shared" si="2"/>
        <v/>
      </c>
      <c r="N11" s="310"/>
      <c r="O11" s="171">
        <f t="shared" si="3"/>
        <v>13238.252242178733</v>
      </c>
      <c r="P11" s="172">
        <f t="shared" si="0"/>
        <v>410381.75672653614</v>
      </c>
      <c r="Q11" s="128">
        <f t="shared" si="4"/>
        <v>410381.75672653614</v>
      </c>
      <c r="R11" s="128">
        <f t="shared" si="11"/>
        <v>0</v>
      </c>
      <c r="S11" s="195" t="str">
        <f t="shared" si="12"/>
        <v/>
      </c>
      <c r="T11" s="128"/>
      <c r="U11" s="128"/>
      <c r="V11" s="129" t="str">
        <f t="shared" si="5"/>
        <v/>
      </c>
      <c r="W11" s="129" t="str">
        <f t="shared" si="6"/>
        <v/>
      </c>
      <c r="X11" s="171">
        <f t="shared" si="7"/>
        <v>0</v>
      </c>
      <c r="Y11" s="171">
        <f t="shared" si="7"/>
        <v>0</v>
      </c>
      <c r="Z11" s="171">
        <f t="shared" si="7"/>
        <v>0</v>
      </c>
      <c r="AA11" s="186">
        <f t="shared" si="8"/>
        <v>0</v>
      </c>
      <c r="AB11" s="173">
        <f t="shared" si="13"/>
        <v>0</v>
      </c>
      <c r="AC11" s="76"/>
      <c r="AD11" s="76"/>
      <c r="AE11" s="76"/>
      <c r="AF11" s="76"/>
      <c r="AG11" s="76"/>
    </row>
    <row r="12" spans="1:34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71" t="str">
        <f t="shared" si="3"/>
        <v/>
      </c>
      <c r="P12" s="172"/>
      <c r="Q12" s="128">
        <f t="shared" si="4"/>
        <v>0</v>
      </c>
      <c r="R12" s="188"/>
      <c r="S12" s="195" t="str">
        <f t="shared" si="12"/>
        <v/>
      </c>
      <c r="T12" s="188"/>
      <c r="U12" s="188"/>
      <c r="V12" s="188"/>
      <c r="W12" s="188"/>
      <c r="X12" s="172"/>
      <c r="Y12" s="172"/>
      <c r="Z12" s="95"/>
      <c r="AA12" s="186">
        <f t="shared" si="8"/>
        <v>0</v>
      </c>
      <c r="AB12" s="173">
        <f t="shared" si="13"/>
        <v>0</v>
      </c>
      <c r="AC12" s="76"/>
      <c r="AD12" s="76"/>
      <c r="AE12" s="76"/>
      <c r="AF12" s="76"/>
      <c r="AG12" s="76"/>
    </row>
    <row r="13" spans="1:34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8.2258532846687089</v>
      </c>
      <c r="G13" s="53">
        <f>H13*1.0936113</f>
        <v>14477.502244297</v>
      </c>
      <c r="H13" s="103">
        <f>SUM($O5:$O11)</f>
        <v>13238.252242178733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71" t="str">
        <f t="shared" si="3"/>
        <v/>
      </c>
      <c r="P13" s="172"/>
      <c r="Q13" s="128">
        <f t="shared" si="4"/>
        <v>0</v>
      </c>
      <c r="R13" s="189"/>
      <c r="S13" s="195" t="str">
        <f t="shared" si="12"/>
        <v/>
      </c>
      <c r="T13" s="189"/>
      <c r="U13" s="189"/>
      <c r="V13" s="189"/>
      <c r="W13" s="189"/>
      <c r="X13" s="172"/>
      <c r="Y13" s="172"/>
      <c r="Z13" s="95"/>
      <c r="AA13" s="186">
        <f t="shared" si="8"/>
        <v>0</v>
      </c>
      <c r="AB13" s="173">
        <f t="shared" si="13"/>
        <v>0</v>
      </c>
      <c r="AC13" s="76"/>
      <c r="AD13" s="76"/>
      <c r="AE13" s="76"/>
      <c r="AF13" s="76"/>
      <c r="AG13" s="76"/>
    </row>
    <row r="14" spans="1:34" ht="17" thickTop="1">
      <c r="A14" s="1"/>
      <c r="B14" s="47">
        <f t="shared" ref="B14:B20" si="14">IF(B$2&gt;C14,0,C14)</f>
        <v>45628</v>
      </c>
      <c r="C14" s="31">
        <f>C11+1</f>
        <v>45628</v>
      </c>
      <c r="D14" s="18">
        <f t="shared" ca="1" si="1"/>
        <v>-337</v>
      </c>
      <c r="E14" s="94" t="s">
        <v>1</v>
      </c>
      <c r="F14" s="45"/>
      <c r="G14" s="46"/>
      <c r="H14" s="46"/>
      <c r="I14" s="109"/>
      <c r="J14" s="101"/>
      <c r="K14" s="152" t="str">
        <f t="shared" ref="K14:K20" si="15">IF(R14=0,"",IF(L14="","",J14))</f>
        <v/>
      </c>
      <c r="L14" s="101"/>
      <c r="M14" s="46" t="str">
        <f t="shared" ref="M14:M20" si="16">IF(R14=0,"",IF(J14="","",L14))</f>
        <v/>
      </c>
      <c r="N14" s="310"/>
      <c r="O14" s="171">
        <f t="shared" si="3"/>
        <v>13238.252242178733</v>
      </c>
      <c r="P14" s="172">
        <f t="shared" ref="P14:P20" si="17">H$56</f>
        <v>410381.75672653614</v>
      </c>
      <c r="Q14" s="128">
        <f t="shared" si="4"/>
        <v>410381.75672653614</v>
      </c>
      <c r="R14" s="128">
        <f>IF(R$2=3,H14+G14/1.0936133+F14/0.0006213712,IF(R$2=2,H14*1.0936133+G14+F14/0.0005681818,IF(R$2=1,H14*0.0005681818*1.0936133+G14*0.0005681818+F14,"")))</f>
        <v>0</v>
      </c>
      <c r="S14" s="195" t="str">
        <f t="shared" si="12"/>
        <v/>
      </c>
      <c r="T14" s="128"/>
      <c r="U14" s="128"/>
      <c r="V14" s="129" t="str">
        <f t="shared" ref="V14:V20" si="18">IF(L14="","",IF(R14=0,"",IF(B14=0,"",IF($R$2=3,R14/L14*60/1000,IF($R$2=2,R14/L14*60/1760,IF($R$2=1,R14/L14*60,""))))))</f>
        <v/>
      </c>
      <c r="W14" s="129" t="str">
        <f t="shared" ref="W14:W20" si="19">IF(R14=0,"",IF(L14="","",V14*L14))</f>
        <v/>
      </c>
      <c r="X14" s="171">
        <f>F14+X11</f>
        <v>0</v>
      </c>
      <c r="Y14" s="171">
        <f>G14+Y11</f>
        <v>0</v>
      </c>
      <c r="Z14" s="171">
        <f>H14+Z11</f>
        <v>0</v>
      </c>
      <c r="AA14" s="186">
        <f t="shared" si="8"/>
        <v>0</v>
      </c>
      <c r="AB14" s="173">
        <f t="shared" si="13"/>
        <v>0</v>
      </c>
      <c r="AC14" s="76"/>
      <c r="AD14" s="76"/>
      <c r="AE14" s="76"/>
      <c r="AF14" s="76"/>
      <c r="AG14" s="76"/>
    </row>
    <row r="15" spans="1:34">
      <c r="A15" s="1"/>
      <c r="B15" s="4">
        <f t="shared" si="14"/>
        <v>45629</v>
      </c>
      <c r="C15" s="29">
        <f t="shared" ref="C15:C20" si="20">C14+1</f>
        <v>45629</v>
      </c>
      <c r="D15" s="6">
        <f t="shared" ca="1" si="1"/>
        <v>-338</v>
      </c>
      <c r="E15" s="90" t="s">
        <v>2</v>
      </c>
      <c r="F15" s="45"/>
      <c r="G15" s="46"/>
      <c r="H15" s="46"/>
      <c r="I15" s="151"/>
      <c r="J15" s="46"/>
      <c r="K15" s="152" t="str">
        <f t="shared" si="15"/>
        <v/>
      </c>
      <c r="L15" s="46"/>
      <c r="M15" s="46" t="str">
        <f t="shared" si="16"/>
        <v/>
      </c>
      <c r="N15" s="310"/>
      <c r="O15" s="171">
        <f t="shared" si="3"/>
        <v>13238.252242178733</v>
      </c>
      <c r="P15" s="172">
        <f t="shared" si="17"/>
        <v>410381.75672653614</v>
      </c>
      <c r="Q15" s="128">
        <f t="shared" si="4"/>
        <v>410381.75672653614</v>
      </c>
      <c r="R15" s="128">
        <f t="shared" ref="R15:R20" si="21">IF(R$2=3,H15+G15/1.0936133+F15/0.0006213712,IF(R$2=2,H15*1.0936133+G15+F15/0.0005681818,IF(R$2=1,H15*0.0005681818*1.0936133+G15*0.0005681818+F15,"")))</f>
        <v>0</v>
      </c>
      <c r="S15" s="195" t="str">
        <f t="shared" si="12"/>
        <v/>
      </c>
      <c r="T15" s="128"/>
      <c r="U15" s="128"/>
      <c r="V15" s="129" t="str">
        <f t="shared" si="18"/>
        <v/>
      </c>
      <c r="W15" s="129" t="str">
        <f t="shared" si="19"/>
        <v/>
      </c>
      <c r="X15" s="171">
        <f t="shared" ref="X15:Z20" si="22">F15+X14</f>
        <v>0</v>
      </c>
      <c r="Y15" s="171">
        <f t="shared" si="22"/>
        <v>0</v>
      </c>
      <c r="Z15" s="171">
        <f t="shared" si="22"/>
        <v>0</v>
      </c>
      <c r="AA15" s="186">
        <f t="shared" si="8"/>
        <v>0</v>
      </c>
      <c r="AB15" s="173">
        <f t="shared" si="13"/>
        <v>0</v>
      </c>
      <c r="AC15" s="76"/>
      <c r="AD15" s="76"/>
      <c r="AE15" s="76"/>
      <c r="AF15" s="76"/>
      <c r="AG15" s="76"/>
    </row>
    <row r="16" spans="1:34">
      <c r="A16" s="1"/>
      <c r="B16" s="4">
        <f t="shared" si="14"/>
        <v>45630</v>
      </c>
      <c r="C16" s="29">
        <f t="shared" si="20"/>
        <v>45630</v>
      </c>
      <c r="D16" s="6">
        <f t="shared" ca="1" si="1"/>
        <v>-339</v>
      </c>
      <c r="E16" s="90" t="s">
        <v>3</v>
      </c>
      <c r="F16" s="45"/>
      <c r="G16" s="46"/>
      <c r="H16" s="46"/>
      <c r="I16" s="151"/>
      <c r="J16" s="46"/>
      <c r="K16" s="152" t="str">
        <f t="shared" si="15"/>
        <v/>
      </c>
      <c r="L16" s="46"/>
      <c r="M16" s="46" t="str">
        <f t="shared" si="16"/>
        <v/>
      </c>
      <c r="N16" s="301"/>
      <c r="O16" s="171">
        <f t="shared" si="3"/>
        <v>13238.252242178733</v>
      </c>
      <c r="P16" s="172">
        <f t="shared" si="17"/>
        <v>410381.75672653614</v>
      </c>
      <c r="Q16" s="128">
        <f t="shared" si="4"/>
        <v>410381.75672653614</v>
      </c>
      <c r="R16" s="128">
        <f t="shared" si="21"/>
        <v>0</v>
      </c>
      <c r="S16" s="195" t="str">
        <f t="shared" si="12"/>
        <v/>
      </c>
      <c r="T16" s="128"/>
      <c r="U16" s="128"/>
      <c r="V16" s="129" t="str">
        <f t="shared" si="18"/>
        <v/>
      </c>
      <c r="W16" s="129" t="str">
        <f t="shared" si="19"/>
        <v/>
      </c>
      <c r="X16" s="171">
        <f t="shared" si="22"/>
        <v>0</v>
      </c>
      <c r="Y16" s="171">
        <f t="shared" si="22"/>
        <v>0</v>
      </c>
      <c r="Z16" s="171">
        <f t="shared" si="22"/>
        <v>0</v>
      </c>
      <c r="AA16" s="186">
        <f t="shared" si="8"/>
        <v>0</v>
      </c>
      <c r="AB16" s="173">
        <f t="shared" si="13"/>
        <v>0</v>
      </c>
      <c r="AC16" s="76"/>
      <c r="AD16" s="76"/>
      <c r="AE16" s="76"/>
      <c r="AF16" s="76"/>
      <c r="AG16" s="76"/>
    </row>
    <row r="17" spans="1:33">
      <c r="A17" s="1"/>
      <c r="B17" s="4">
        <f t="shared" si="14"/>
        <v>45631</v>
      </c>
      <c r="C17" s="29">
        <f t="shared" si="20"/>
        <v>45631</v>
      </c>
      <c r="D17" s="6">
        <f t="shared" ca="1" si="1"/>
        <v>-340</v>
      </c>
      <c r="E17" s="90" t="s">
        <v>4</v>
      </c>
      <c r="F17" s="45"/>
      <c r="G17" s="46"/>
      <c r="H17" s="46"/>
      <c r="I17" s="151"/>
      <c r="J17" s="46"/>
      <c r="K17" s="152" t="str">
        <f t="shared" si="15"/>
        <v/>
      </c>
      <c r="L17" s="46"/>
      <c r="M17" s="46" t="str">
        <f t="shared" si="16"/>
        <v/>
      </c>
      <c r="N17" s="310"/>
      <c r="O17" s="171">
        <f t="shared" si="3"/>
        <v>13238.252242178733</v>
      </c>
      <c r="P17" s="172">
        <f t="shared" si="17"/>
        <v>410381.75672653614</v>
      </c>
      <c r="Q17" s="128">
        <f t="shared" si="4"/>
        <v>410381.75672653614</v>
      </c>
      <c r="R17" s="128">
        <f t="shared" si="21"/>
        <v>0</v>
      </c>
      <c r="S17" s="195" t="str">
        <f t="shared" si="12"/>
        <v/>
      </c>
      <c r="T17" s="128"/>
      <c r="U17" s="128"/>
      <c r="V17" s="129" t="str">
        <f t="shared" si="18"/>
        <v/>
      </c>
      <c r="W17" s="129" t="str">
        <f t="shared" si="19"/>
        <v/>
      </c>
      <c r="X17" s="171">
        <f t="shared" si="22"/>
        <v>0</v>
      </c>
      <c r="Y17" s="171">
        <f t="shared" si="22"/>
        <v>0</v>
      </c>
      <c r="Z17" s="171">
        <f t="shared" si="22"/>
        <v>0</v>
      </c>
      <c r="AA17" s="186">
        <f t="shared" si="8"/>
        <v>0</v>
      </c>
      <c r="AB17" s="173">
        <f t="shared" si="13"/>
        <v>0</v>
      </c>
      <c r="AC17" s="76"/>
      <c r="AD17" s="76"/>
      <c r="AE17" s="76"/>
      <c r="AF17" s="76"/>
      <c r="AG17" s="76"/>
    </row>
    <row r="18" spans="1:33">
      <c r="A18" s="1"/>
      <c r="B18" s="4">
        <f t="shared" si="14"/>
        <v>45632</v>
      </c>
      <c r="C18" s="29">
        <f t="shared" si="20"/>
        <v>45632</v>
      </c>
      <c r="D18" s="6">
        <f t="shared" ca="1" si="1"/>
        <v>-341</v>
      </c>
      <c r="E18" s="90" t="s">
        <v>5</v>
      </c>
      <c r="F18" s="45"/>
      <c r="G18" s="46"/>
      <c r="H18" s="46"/>
      <c r="I18" s="151"/>
      <c r="J18" s="46"/>
      <c r="K18" s="152" t="str">
        <f t="shared" si="15"/>
        <v/>
      </c>
      <c r="L18" s="46"/>
      <c r="M18" s="46" t="str">
        <f t="shared" si="16"/>
        <v/>
      </c>
      <c r="N18" s="301"/>
      <c r="O18" s="171">
        <f t="shared" si="3"/>
        <v>13238.252242178733</v>
      </c>
      <c r="P18" s="172">
        <f t="shared" si="17"/>
        <v>410381.75672653614</v>
      </c>
      <c r="Q18" s="128">
        <f t="shared" si="4"/>
        <v>410381.75672653614</v>
      </c>
      <c r="R18" s="128">
        <f t="shared" si="21"/>
        <v>0</v>
      </c>
      <c r="S18" s="195" t="str">
        <f t="shared" si="12"/>
        <v/>
      </c>
      <c r="T18" s="128"/>
      <c r="U18" s="128"/>
      <c r="V18" s="129" t="str">
        <f t="shared" si="18"/>
        <v/>
      </c>
      <c r="W18" s="129" t="str">
        <f t="shared" si="19"/>
        <v/>
      </c>
      <c r="X18" s="171">
        <f t="shared" si="22"/>
        <v>0</v>
      </c>
      <c r="Y18" s="171">
        <f t="shared" si="22"/>
        <v>0</v>
      </c>
      <c r="Z18" s="171">
        <f t="shared" si="22"/>
        <v>0</v>
      </c>
      <c r="AA18" s="186">
        <f t="shared" si="8"/>
        <v>0</v>
      </c>
      <c r="AB18" s="173">
        <f t="shared" si="13"/>
        <v>0</v>
      </c>
      <c r="AC18" s="76"/>
      <c r="AD18" s="76"/>
      <c r="AE18" s="76"/>
      <c r="AF18" s="76"/>
      <c r="AG18" s="76"/>
    </row>
    <row r="19" spans="1:33">
      <c r="A19" s="1"/>
      <c r="B19" s="4">
        <f t="shared" si="14"/>
        <v>45633</v>
      </c>
      <c r="C19" s="29">
        <f t="shared" si="20"/>
        <v>45633</v>
      </c>
      <c r="D19" s="6">
        <f t="shared" ca="1" si="1"/>
        <v>-342</v>
      </c>
      <c r="E19" s="90" t="s">
        <v>6</v>
      </c>
      <c r="F19" s="45"/>
      <c r="G19" s="46"/>
      <c r="H19" s="46"/>
      <c r="I19" s="151"/>
      <c r="J19" s="46"/>
      <c r="K19" s="152" t="str">
        <f t="shared" si="15"/>
        <v/>
      </c>
      <c r="L19" s="46"/>
      <c r="M19" s="46" t="str">
        <f t="shared" si="16"/>
        <v/>
      </c>
      <c r="N19" s="310"/>
      <c r="O19" s="171">
        <f t="shared" si="3"/>
        <v>13238.252242178733</v>
      </c>
      <c r="P19" s="172">
        <f t="shared" si="17"/>
        <v>410381.75672653614</v>
      </c>
      <c r="Q19" s="128">
        <f t="shared" si="4"/>
        <v>410381.75672653614</v>
      </c>
      <c r="R19" s="128">
        <f t="shared" si="21"/>
        <v>0</v>
      </c>
      <c r="S19" s="195" t="str">
        <f t="shared" si="12"/>
        <v/>
      </c>
      <c r="T19" s="128"/>
      <c r="U19" s="128"/>
      <c r="V19" s="129" t="str">
        <f t="shared" si="18"/>
        <v/>
      </c>
      <c r="W19" s="129" t="str">
        <f t="shared" si="19"/>
        <v/>
      </c>
      <c r="X19" s="171">
        <f t="shared" si="22"/>
        <v>0</v>
      </c>
      <c r="Y19" s="171">
        <f t="shared" si="22"/>
        <v>0</v>
      </c>
      <c r="Z19" s="171">
        <f t="shared" si="22"/>
        <v>0</v>
      </c>
      <c r="AA19" s="186">
        <f t="shared" si="8"/>
        <v>0</v>
      </c>
      <c r="AB19" s="173">
        <f t="shared" si="13"/>
        <v>0</v>
      </c>
      <c r="AC19" s="76"/>
      <c r="AD19" s="76"/>
      <c r="AE19" s="76"/>
      <c r="AF19" s="76"/>
      <c r="AG19" s="76"/>
    </row>
    <row r="20" spans="1:33" ht="17" thickBot="1">
      <c r="A20" s="1"/>
      <c r="B20" s="43">
        <f t="shared" si="14"/>
        <v>45634</v>
      </c>
      <c r="C20" s="32">
        <f t="shared" si="20"/>
        <v>45634</v>
      </c>
      <c r="D20" s="44">
        <f t="shared" ca="1" si="1"/>
        <v>-343</v>
      </c>
      <c r="E20" s="93" t="s">
        <v>7</v>
      </c>
      <c r="F20" s="45"/>
      <c r="G20" s="46"/>
      <c r="H20" s="46"/>
      <c r="I20" s="151"/>
      <c r="J20" s="46"/>
      <c r="K20" s="152" t="str">
        <f t="shared" si="15"/>
        <v/>
      </c>
      <c r="L20" s="46"/>
      <c r="M20" s="46" t="str">
        <f t="shared" si="16"/>
        <v/>
      </c>
      <c r="N20" s="303"/>
      <c r="O20" s="171">
        <f t="shared" si="3"/>
        <v>13238.252242178733</v>
      </c>
      <c r="P20" s="172">
        <f t="shared" si="17"/>
        <v>410381.75672653614</v>
      </c>
      <c r="Q20" s="128">
        <f t="shared" si="4"/>
        <v>410381.75672653614</v>
      </c>
      <c r="R20" s="128">
        <f t="shared" si="21"/>
        <v>0</v>
      </c>
      <c r="S20" s="195" t="str">
        <f t="shared" si="12"/>
        <v/>
      </c>
      <c r="T20" s="128"/>
      <c r="U20" s="128"/>
      <c r="V20" s="129" t="str">
        <f t="shared" si="18"/>
        <v/>
      </c>
      <c r="W20" s="129" t="str">
        <f t="shared" si="19"/>
        <v/>
      </c>
      <c r="X20" s="171">
        <f t="shared" si="22"/>
        <v>0</v>
      </c>
      <c r="Y20" s="171">
        <f t="shared" si="22"/>
        <v>0</v>
      </c>
      <c r="Z20" s="171">
        <f t="shared" si="22"/>
        <v>0</v>
      </c>
      <c r="AA20" s="186">
        <f t="shared" si="8"/>
        <v>0</v>
      </c>
      <c r="AB20" s="173">
        <f t="shared" si="13"/>
        <v>0</v>
      </c>
      <c r="AC20" s="76"/>
      <c r="AD20" s="76"/>
      <c r="AE20" s="76"/>
      <c r="AF20" s="76"/>
      <c r="AG20" s="76"/>
    </row>
    <row r="21" spans="1:33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71" t="str">
        <f t="shared" si="3"/>
        <v/>
      </c>
      <c r="P21" s="172"/>
      <c r="Q21" s="128">
        <f t="shared" si="4"/>
        <v>0</v>
      </c>
      <c r="R21" s="188"/>
      <c r="S21" s="195" t="str">
        <f t="shared" si="12"/>
        <v/>
      </c>
      <c r="T21" s="188"/>
      <c r="U21" s="188"/>
      <c r="V21" s="188"/>
      <c r="W21" s="188"/>
      <c r="X21" s="95"/>
      <c r="Y21" s="95"/>
      <c r="Z21" s="95"/>
      <c r="AA21" s="186">
        <f t="shared" si="8"/>
        <v>0</v>
      </c>
      <c r="AB21" s="173">
        <f t="shared" si="13"/>
        <v>0</v>
      </c>
      <c r="AC21" s="76"/>
      <c r="AD21" s="76"/>
      <c r="AE21" s="76"/>
      <c r="AF21" s="76"/>
      <c r="AG21" s="76"/>
    </row>
    <row r="22" spans="1:33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57.580497212594487</v>
      </c>
      <c r="G22" s="53">
        <f>H22*1.0936113</f>
        <v>101341.67833710001</v>
      </c>
      <c r="H22" s="104">
        <f>INT(SUM($O14:$O20))</f>
        <v>92667</v>
      </c>
      <c r="I22" s="120"/>
      <c r="J22" s="499"/>
      <c r="K22" s="500"/>
      <c r="L22" s="500"/>
      <c r="M22" s="500"/>
      <c r="N22" s="500"/>
      <c r="O22" s="171" t="str">
        <f t="shared" si="3"/>
        <v/>
      </c>
      <c r="P22" s="172"/>
      <c r="Q22" s="128">
        <f t="shared" si="4"/>
        <v>0</v>
      </c>
      <c r="R22" s="189"/>
      <c r="S22" s="195" t="str">
        <f t="shared" si="12"/>
        <v/>
      </c>
      <c r="T22" s="189"/>
      <c r="U22" s="189"/>
      <c r="V22" s="189"/>
      <c r="W22" s="189"/>
      <c r="X22" s="95"/>
      <c r="Y22" s="95"/>
      <c r="Z22" s="95"/>
      <c r="AA22" s="186">
        <f t="shared" si="8"/>
        <v>0</v>
      </c>
      <c r="AB22" s="173">
        <f t="shared" si="13"/>
        <v>0</v>
      </c>
      <c r="AC22" s="76"/>
      <c r="AD22" s="76"/>
      <c r="AE22" s="76"/>
      <c r="AF22" s="76"/>
      <c r="AG22" s="76"/>
    </row>
    <row r="23" spans="1:33" ht="17" thickTop="1">
      <c r="A23" s="1"/>
      <c r="B23" s="47">
        <f t="shared" ref="B23:B29" si="23">IF(B$2&gt;C23,0,C23)</f>
        <v>45635</v>
      </c>
      <c r="C23" s="31">
        <f>C20+1</f>
        <v>45635</v>
      </c>
      <c r="D23" s="18">
        <f t="shared" ca="1" si="1"/>
        <v>-344</v>
      </c>
      <c r="E23" s="94" t="s">
        <v>1</v>
      </c>
      <c r="F23" s="45"/>
      <c r="G23" s="46"/>
      <c r="H23" s="46"/>
      <c r="I23" s="151"/>
      <c r="J23" s="46"/>
      <c r="K23" s="152" t="str">
        <f t="shared" ref="K23:K29" si="24">IF(R23=0,"",IF(L23="","",J23))</f>
        <v/>
      </c>
      <c r="L23" s="101"/>
      <c r="M23" s="46" t="str">
        <f t="shared" ref="M23:M29" si="25">IF(R23=0,"",IF(J23="","",L23))</f>
        <v/>
      </c>
      <c r="N23" s="301"/>
      <c r="O23" s="171">
        <f t="shared" si="3"/>
        <v>13238.252242178733</v>
      </c>
      <c r="P23" s="172">
        <f t="shared" ref="P23:P29" si="26">H$56</f>
        <v>410381.75672653614</v>
      </c>
      <c r="Q23" s="128">
        <f t="shared" si="4"/>
        <v>410381.75672653614</v>
      </c>
      <c r="R23" s="128">
        <f>IF(R$2=3,H23+G23/1.0936133+F23/0.0006213712,IF(R$2=2,H23*1.0936133+G23+F23/0.0005681818,IF(R$2=1,H23*0.0005681818*1.0936133+G23*0.0005681818+F23,"")))</f>
        <v>0</v>
      </c>
      <c r="S23" s="195" t="str">
        <f t="shared" si="12"/>
        <v/>
      </c>
      <c r="T23" s="128"/>
      <c r="U23" s="128"/>
      <c r="V23" s="129" t="str">
        <f t="shared" ref="V23:V29" si="27">IF(L23="","",IF(R23=0,"",IF(B23=0,"",IF($R$2=3,R23/L23*60/1000,IF($R$2=2,R23/L23*60/1760,IF($R$2=1,R23/L23*60,""))))))</f>
        <v/>
      </c>
      <c r="W23" s="129" t="str">
        <f t="shared" ref="W23:W29" si="28">IF(R23=0,"",IF(L23="","",V23*L23))</f>
        <v/>
      </c>
      <c r="X23" s="171">
        <f>F23+X20</f>
        <v>0</v>
      </c>
      <c r="Y23" s="171">
        <f>G23+Y20</f>
        <v>0</v>
      </c>
      <c r="Z23" s="171">
        <f>H23+Z20</f>
        <v>0</v>
      </c>
      <c r="AA23" s="186">
        <f t="shared" si="8"/>
        <v>0</v>
      </c>
      <c r="AB23" s="173">
        <f t="shared" si="13"/>
        <v>0</v>
      </c>
      <c r="AC23" s="76"/>
      <c r="AD23" s="76"/>
      <c r="AE23" s="76"/>
      <c r="AF23" s="76"/>
      <c r="AG23" s="76"/>
    </row>
    <row r="24" spans="1:33">
      <c r="A24" s="1"/>
      <c r="B24" s="4">
        <f t="shared" si="23"/>
        <v>45636</v>
      </c>
      <c r="C24" s="29">
        <f t="shared" ref="C24:C29" si="29">C23+1</f>
        <v>45636</v>
      </c>
      <c r="D24" s="6">
        <f t="shared" ca="1" si="1"/>
        <v>-345</v>
      </c>
      <c r="E24" s="90" t="s">
        <v>2</v>
      </c>
      <c r="F24" s="45"/>
      <c r="G24" s="46"/>
      <c r="H24" s="46"/>
      <c r="I24" s="151"/>
      <c r="J24" s="46"/>
      <c r="K24" s="152" t="str">
        <f t="shared" si="24"/>
        <v/>
      </c>
      <c r="L24" s="46"/>
      <c r="M24" s="46" t="str">
        <f t="shared" si="25"/>
        <v/>
      </c>
      <c r="N24" s="301"/>
      <c r="O24" s="171">
        <f t="shared" si="3"/>
        <v>13238.252242178733</v>
      </c>
      <c r="P24" s="172">
        <f t="shared" si="26"/>
        <v>410381.75672653614</v>
      </c>
      <c r="Q24" s="128">
        <f t="shared" si="4"/>
        <v>410381.75672653614</v>
      </c>
      <c r="R24" s="128">
        <f t="shared" ref="R24:R29" si="30">IF(R$2=3,H24+G24/1.0936133+F24/0.0006213712,IF(R$2=2,H24*1.0936133+G24+F24/0.0005681818,IF(R$2=1,H24*0.0005681818*1.0936133+G24*0.0005681818+F24,"")))</f>
        <v>0</v>
      </c>
      <c r="S24" s="195" t="str">
        <f t="shared" si="12"/>
        <v/>
      </c>
      <c r="T24" s="128"/>
      <c r="U24" s="128"/>
      <c r="V24" s="129" t="str">
        <f t="shared" si="27"/>
        <v/>
      </c>
      <c r="W24" s="129" t="str">
        <f t="shared" si="28"/>
        <v/>
      </c>
      <c r="X24" s="171">
        <f t="shared" ref="X24:Z29" si="31">F24+X23</f>
        <v>0</v>
      </c>
      <c r="Y24" s="171">
        <f t="shared" si="31"/>
        <v>0</v>
      </c>
      <c r="Z24" s="171">
        <f t="shared" si="31"/>
        <v>0</v>
      </c>
      <c r="AA24" s="186">
        <f t="shared" si="8"/>
        <v>0</v>
      </c>
      <c r="AB24" s="173">
        <f t="shared" si="13"/>
        <v>0</v>
      </c>
      <c r="AC24" s="76"/>
      <c r="AD24" s="76"/>
      <c r="AE24" s="76"/>
      <c r="AF24" s="76"/>
      <c r="AG24" s="76"/>
    </row>
    <row r="25" spans="1:33">
      <c r="A25" s="1"/>
      <c r="B25" s="4">
        <f t="shared" si="23"/>
        <v>45637</v>
      </c>
      <c r="C25" s="29">
        <f t="shared" si="29"/>
        <v>45637</v>
      </c>
      <c r="D25" s="6">
        <f t="shared" ca="1" si="1"/>
        <v>-346</v>
      </c>
      <c r="E25" s="90" t="s">
        <v>3</v>
      </c>
      <c r="F25" s="45"/>
      <c r="G25" s="46"/>
      <c r="H25" s="46"/>
      <c r="I25" s="151"/>
      <c r="J25" s="46"/>
      <c r="K25" s="152" t="str">
        <f t="shared" si="24"/>
        <v/>
      </c>
      <c r="L25" s="46"/>
      <c r="M25" s="46" t="str">
        <f t="shared" si="25"/>
        <v/>
      </c>
      <c r="N25" s="301"/>
      <c r="O25" s="171">
        <f t="shared" si="3"/>
        <v>13238.252242178733</v>
      </c>
      <c r="P25" s="172">
        <f t="shared" si="26"/>
        <v>410381.75672653614</v>
      </c>
      <c r="Q25" s="128">
        <f t="shared" si="4"/>
        <v>410381.75672653614</v>
      </c>
      <c r="R25" s="128">
        <f t="shared" si="30"/>
        <v>0</v>
      </c>
      <c r="S25" s="195" t="str">
        <f t="shared" si="12"/>
        <v/>
      </c>
      <c r="T25" s="128"/>
      <c r="U25" s="128"/>
      <c r="V25" s="129" t="str">
        <f t="shared" si="27"/>
        <v/>
      </c>
      <c r="W25" s="129" t="str">
        <f t="shared" si="28"/>
        <v/>
      </c>
      <c r="X25" s="171">
        <f t="shared" si="31"/>
        <v>0</v>
      </c>
      <c r="Y25" s="171">
        <f t="shared" si="31"/>
        <v>0</v>
      </c>
      <c r="Z25" s="171">
        <f t="shared" si="31"/>
        <v>0</v>
      </c>
      <c r="AA25" s="186">
        <f t="shared" si="8"/>
        <v>0</v>
      </c>
      <c r="AB25" s="173">
        <f t="shared" si="13"/>
        <v>0</v>
      </c>
      <c r="AC25" s="76"/>
      <c r="AD25" s="76"/>
      <c r="AE25" s="76"/>
      <c r="AF25" s="76"/>
      <c r="AG25" s="76"/>
    </row>
    <row r="26" spans="1:33">
      <c r="A26" s="1"/>
      <c r="B26" s="4">
        <f t="shared" si="23"/>
        <v>45638</v>
      </c>
      <c r="C26" s="29">
        <f t="shared" si="29"/>
        <v>45638</v>
      </c>
      <c r="D26" s="6">
        <f t="shared" ca="1" si="1"/>
        <v>-347</v>
      </c>
      <c r="E26" s="90" t="s">
        <v>4</v>
      </c>
      <c r="F26" s="45"/>
      <c r="G26" s="46"/>
      <c r="H26" s="46"/>
      <c r="I26" s="151"/>
      <c r="J26" s="46"/>
      <c r="K26" s="152" t="str">
        <f t="shared" si="24"/>
        <v/>
      </c>
      <c r="L26" s="46"/>
      <c r="M26" s="46" t="str">
        <f t="shared" si="25"/>
        <v/>
      </c>
      <c r="N26" s="301"/>
      <c r="O26" s="171">
        <f t="shared" si="3"/>
        <v>13238.252242178733</v>
      </c>
      <c r="P26" s="172">
        <f t="shared" si="26"/>
        <v>410381.75672653614</v>
      </c>
      <c r="Q26" s="128">
        <f t="shared" si="4"/>
        <v>410381.75672653614</v>
      </c>
      <c r="R26" s="128">
        <f t="shared" si="30"/>
        <v>0</v>
      </c>
      <c r="S26" s="195" t="str">
        <f t="shared" si="12"/>
        <v/>
      </c>
      <c r="T26" s="128"/>
      <c r="U26" s="128"/>
      <c r="V26" s="129" t="str">
        <f t="shared" si="27"/>
        <v/>
      </c>
      <c r="W26" s="129" t="str">
        <f t="shared" si="28"/>
        <v/>
      </c>
      <c r="X26" s="171">
        <f t="shared" si="31"/>
        <v>0</v>
      </c>
      <c r="Y26" s="171">
        <f t="shared" si="31"/>
        <v>0</v>
      </c>
      <c r="Z26" s="171">
        <f t="shared" si="31"/>
        <v>0</v>
      </c>
      <c r="AA26" s="186">
        <f t="shared" si="8"/>
        <v>0</v>
      </c>
      <c r="AB26" s="173">
        <f t="shared" si="13"/>
        <v>0</v>
      </c>
      <c r="AC26" s="76"/>
      <c r="AD26" s="76"/>
      <c r="AE26" s="76"/>
      <c r="AF26" s="76"/>
      <c r="AG26" s="76"/>
    </row>
    <row r="27" spans="1:33">
      <c r="A27" s="1"/>
      <c r="B27" s="4">
        <f t="shared" si="23"/>
        <v>45639</v>
      </c>
      <c r="C27" s="29">
        <f t="shared" si="29"/>
        <v>45639</v>
      </c>
      <c r="D27" s="6">
        <f t="shared" ca="1" si="1"/>
        <v>-348</v>
      </c>
      <c r="E27" s="90" t="s">
        <v>5</v>
      </c>
      <c r="F27" s="45"/>
      <c r="G27" s="46"/>
      <c r="H27" s="46"/>
      <c r="I27" s="151"/>
      <c r="J27" s="46"/>
      <c r="K27" s="152" t="str">
        <f t="shared" si="24"/>
        <v/>
      </c>
      <c r="L27" s="46"/>
      <c r="M27" s="46" t="str">
        <f t="shared" si="25"/>
        <v/>
      </c>
      <c r="N27" s="301"/>
      <c r="O27" s="171">
        <f t="shared" si="3"/>
        <v>13238.252242178733</v>
      </c>
      <c r="P27" s="172">
        <f t="shared" si="26"/>
        <v>410381.75672653614</v>
      </c>
      <c r="Q27" s="128">
        <f t="shared" si="4"/>
        <v>410381.75672653614</v>
      </c>
      <c r="R27" s="128">
        <f t="shared" si="30"/>
        <v>0</v>
      </c>
      <c r="S27" s="195" t="str">
        <f t="shared" si="12"/>
        <v/>
      </c>
      <c r="T27" s="128"/>
      <c r="U27" s="128"/>
      <c r="V27" s="129" t="str">
        <f t="shared" si="27"/>
        <v/>
      </c>
      <c r="W27" s="129" t="str">
        <f t="shared" si="28"/>
        <v/>
      </c>
      <c r="X27" s="171">
        <f t="shared" si="31"/>
        <v>0</v>
      </c>
      <c r="Y27" s="171">
        <f t="shared" si="31"/>
        <v>0</v>
      </c>
      <c r="Z27" s="171">
        <f t="shared" si="31"/>
        <v>0</v>
      </c>
      <c r="AA27" s="186">
        <f t="shared" si="8"/>
        <v>0</v>
      </c>
      <c r="AB27" s="173">
        <f t="shared" si="13"/>
        <v>0</v>
      </c>
      <c r="AC27" s="76"/>
      <c r="AD27" s="76"/>
      <c r="AE27" s="76"/>
      <c r="AF27" s="76"/>
      <c r="AG27" s="76"/>
    </row>
    <row r="28" spans="1:33">
      <c r="A28" s="1"/>
      <c r="B28" s="4">
        <f t="shared" si="23"/>
        <v>45640</v>
      </c>
      <c r="C28" s="29">
        <f t="shared" si="29"/>
        <v>45640</v>
      </c>
      <c r="D28" s="6">
        <f t="shared" ca="1" si="1"/>
        <v>-349</v>
      </c>
      <c r="E28" s="90" t="s">
        <v>6</v>
      </c>
      <c r="F28" s="45"/>
      <c r="G28" s="46"/>
      <c r="H28" s="46"/>
      <c r="I28" s="151"/>
      <c r="J28" s="46"/>
      <c r="K28" s="152" t="str">
        <f t="shared" si="24"/>
        <v/>
      </c>
      <c r="L28" s="46"/>
      <c r="M28" s="46" t="str">
        <f t="shared" si="25"/>
        <v/>
      </c>
      <c r="N28" s="301"/>
      <c r="O28" s="171">
        <f t="shared" si="3"/>
        <v>13238.252242178733</v>
      </c>
      <c r="P28" s="172">
        <f t="shared" si="26"/>
        <v>410381.75672653614</v>
      </c>
      <c r="Q28" s="128">
        <f t="shared" si="4"/>
        <v>410381.75672653614</v>
      </c>
      <c r="R28" s="128">
        <f t="shared" si="30"/>
        <v>0</v>
      </c>
      <c r="S28" s="195" t="str">
        <f t="shared" si="12"/>
        <v/>
      </c>
      <c r="T28" s="128"/>
      <c r="U28" s="128"/>
      <c r="V28" s="129" t="str">
        <f t="shared" si="27"/>
        <v/>
      </c>
      <c r="W28" s="129" t="str">
        <f t="shared" si="28"/>
        <v/>
      </c>
      <c r="X28" s="171">
        <f t="shared" si="31"/>
        <v>0</v>
      </c>
      <c r="Y28" s="171">
        <f t="shared" si="31"/>
        <v>0</v>
      </c>
      <c r="Z28" s="171">
        <f t="shared" si="31"/>
        <v>0</v>
      </c>
      <c r="AA28" s="186">
        <f t="shared" si="8"/>
        <v>0</v>
      </c>
      <c r="AB28" s="173">
        <f t="shared" si="13"/>
        <v>0</v>
      </c>
      <c r="AC28" s="76"/>
      <c r="AD28" s="76"/>
      <c r="AE28" s="76"/>
      <c r="AF28" s="76"/>
      <c r="AG28" s="76"/>
    </row>
    <row r="29" spans="1:33" ht="17" thickBot="1">
      <c r="A29" s="1"/>
      <c r="B29" s="43">
        <f t="shared" si="23"/>
        <v>45641</v>
      </c>
      <c r="C29" s="32">
        <f t="shared" si="29"/>
        <v>45641</v>
      </c>
      <c r="D29" s="44">
        <f t="shared" ca="1" si="1"/>
        <v>-350</v>
      </c>
      <c r="E29" s="93" t="s">
        <v>7</v>
      </c>
      <c r="F29" s="45"/>
      <c r="G29" s="46"/>
      <c r="H29" s="46"/>
      <c r="I29" s="151"/>
      <c r="J29" s="46"/>
      <c r="K29" s="152" t="str">
        <f t="shared" si="24"/>
        <v/>
      </c>
      <c r="L29" s="46"/>
      <c r="M29" s="46" t="str">
        <f t="shared" si="25"/>
        <v/>
      </c>
      <c r="N29" s="301"/>
      <c r="O29" s="171">
        <f t="shared" si="3"/>
        <v>13238.252242178733</v>
      </c>
      <c r="P29" s="172">
        <f t="shared" si="26"/>
        <v>410381.75672653614</v>
      </c>
      <c r="Q29" s="128">
        <f t="shared" si="4"/>
        <v>410381.75672653614</v>
      </c>
      <c r="R29" s="128">
        <f t="shared" si="30"/>
        <v>0</v>
      </c>
      <c r="S29" s="195" t="str">
        <f t="shared" si="12"/>
        <v/>
      </c>
      <c r="T29" s="128"/>
      <c r="U29" s="128"/>
      <c r="V29" s="129" t="str">
        <f t="shared" si="27"/>
        <v/>
      </c>
      <c r="W29" s="129" t="str">
        <f t="shared" si="28"/>
        <v/>
      </c>
      <c r="X29" s="171">
        <f t="shared" si="31"/>
        <v>0</v>
      </c>
      <c r="Y29" s="171">
        <f t="shared" si="31"/>
        <v>0</v>
      </c>
      <c r="Z29" s="171">
        <f t="shared" si="31"/>
        <v>0</v>
      </c>
      <c r="AA29" s="186">
        <f t="shared" si="8"/>
        <v>0</v>
      </c>
      <c r="AB29" s="173">
        <f t="shared" si="13"/>
        <v>0</v>
      </c>
      <c r="AC29" s="76"/>
      <c r="AD29" s="76"/>
      <c r="AE29" s="76"/>
      <c r="AF29" s="76"/>
      <c r="AG29" s="76"/>
    </row>
    <row r="30" spans="1:33" ht="17" customHeight="1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71" t="str">
        <f t="shared" si="3"/>
        <v/>
      </c>
      <c r="P30" s="172"/>
      <c r="Q30" s="128">
        <f t="shared" si="4"/>
        <v>0</v>
      </c>
      <c r="R30" s="188"/>
      <c r="S30" s="195" t="str">
        <f t="shared" si="12"/>
        <v/>
      </c>
      <c r="T30" s="188"/>
      <c r="U30" s="188"/>
      <c r="V30" s="188"/>
      <c r="W30" s="188"/>
      <c r="X30" s="95"/>
      <c r="Y30" s="95"/>
      <c r="Z30" s="95"/>
      <c r="AA30" s="186">
        <f t="shared" si="8"/>
        <v>0</v>
      </c>
      <c r="AB30" s="173">
        <f t="shared" si="13"/>
        <v>0</v>
      </c>
      <c r="AC30" s="76"/>
      <c r="AD30" s="76"/>
      <c r="AE30" s="76"/>
      <c r="AF30" s="76"/>
      <c r="AG30" s="76"/>
    </row>
    <row r="31" spans="1:33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57.580497212594487</v>
      </c>
      <c r="G31" s="53">
        <f>H31*1.0936113</f>
        <v>101341.67833710001</v>
      </c>
      <c r="H31" s="104">
        <f>INT(SUM($O23:$O29))</f>
        <v>92667</v>
      </c>
      <c r="I31" s="120"/>
      <c r="J31" s="503"/>
      <c r="K31" s="504"/>
      <c r="L31" s="504"/>
      <c r="M31" s="271"/>
      <c r="N31" s="506"/>
      <c r="O31" s="171" t="str">
        <f t="shared" si="3"/>
        <v/>
      </c>
      <c r="P31" s="172"/>
      <c r="Q31" s="128">
        <f t="shared" si="4"/>
        <v>0</v>
      </c>
      <c r="R31" s="189"/>
      <c r="S31" s="195" t="str">
        <f t="shared" si="12"/>
        <v/>
      </c>
      <c r="T31" s="189"/>
      <c r="U31" s="189"/>
      <c r="V31" s="189"/>
      <c r="W31" s="189"/>
      <c r="X31" s="95"/>
      <c r="Y31" s="95"/>
      <c r="Z31" s="95"/>
      <c r="AA31" s="186">
        <f t="shared" si="8"/>
        <v>0</v>
      </c>
      <c r="AB31" s="173">
        <f t="shared" si="13"/>
        <v>0</v>
      </c>
      <c r="AC31" s="76"/>
      <c r="AD31" s="76"/>
      <c r="AE31" s="76"/>
      <c r="AF31" s="76"/>
      <c r="AG31" s="76"/>
    </row>
    <row r="32" spans="1:33" ht="17" thickTop="1">
      <c r="A32" s="1"/>
      <c r="B32" s="47">
        <f t="shared" ref="B32:B38" si="32">IF(B$2&gt;C32,0,C32)</f>
        <v>45642</v>
      </c>
      <c r="C32" s="31">
        <f>C29+1</f>
        <v>45642</v>
      </c>
      <c r="D32" s="18">
        <f t="shared" ca="1" si="1"/>
        <v>-351</v>
      </c>
      <c r="E32" s="94" t="s">
        <v>1</v>
      </c>
      <c r="F32" s="45"/>
      <c r="G32" s="46"/>
      <c r="H32" s="46"/>
      <c r="I32" s="151"/>
      <c r="J32" s="46"/>
      <c r="K32" s="152" t="str">
        <f t="shared" ref="K32:K38" si="33">IF(R32=0,"",IF(L32="","",J32))</f>
        <v/>
      </c>
      <c r="L32" s="121"/>
      <c r="M32" s="46" t="str">
        <f>IF(R32=0,"",IF(J32="","",L32))</f>
        <v/>
      </c>
      <c r="N32" s="301"/>
      <c r="O32" s="171">
        <f t="shared" si="3"/>
        <v>13238.252242178733</v>
      </c>
      <c r="P32" s="172">
        <f t="shared" ref="P32:P38" si="34">H$56</f>
        <v>410381.75672653614</v>
      </c>
      <c r="Q32" s="128">
        <f t="shared" si="4"/>
        <v>410381.75672653614</v>
      </c>
      <c r="R32" s="128">
        <f>IF(R$2=3,H32+G32/1.0936133+F32/0.0006213712,IF(R$2=2,H32*1.0936133+G32+F32/0.0005681818,IF(R$2=1,H32*0.0005681818*1.0936133+G32*0.0005681818+F32,"")))</f>
        <v>0</v>
      </c>
      <c r="S32" s="195" t="str">
        <f t="shared" si="12"/>
        <v/>
      </c>
      <c r="T32" s="128"/>
      <c r="U32" s="128"/>
      <c r="V32" s="129" t="str">
        <f t="shared" ref="V32:V38" si="35">IF(L32="","",IF(R32=0,"",IF(B32=0,"",IF($R$2=3,R32/L32*60/1000,IF($R$2=2,R32/L32*60/1760,IF($R$2=1,R32/L32*60,""))))))</f>
        <v/>
      </c>
      <c r="W32" s="129" t="str">
        <f t="shared" ref="W32:W38" si="36">IF(R32=0,"",IF(L32="","",V32*L32))</f>
        <v/>
      </c>
      <c r="X32" s="171">
        <f>F32+X29</f>
        <v>0</v>
      </c>
      <c r="Y32" s="171">
        <f>G32+Y29</f>
        <v>0</v>
      </c>
      <c r="Z32" s="171">
        <f>H32+Z29</f>
        <v>0</v>
      </c>
      <c r="AA32" s="186">
        <f t="shared" si="8"/>
        <v>0</v>
      </c>
      <c r="AB32" s="173">
        <f t="shared" si="13"/>
        <v>0</v>
      </c>
      <c r="AC32" s="76"/>
      <c r="AD32" s="76"/>
      <c r="AE32" s="76"/>
      <c r="AF32" s="76"/>
      <c r="AG32" s="76"/>
    </row>
    <row r="33" spans="1:33">
      <c r="A33" s="1"/>
      <c r="B33" s="4">
        <f t="shared" si="32"/>
        <v>45643</v>
      </c>
      <c r="C33" s="29">
        <f t="shared" ref="C33:C38" si="37">C32+1</f>
        <v>45643</v>
      </c>
      <c r="D33" s="6">
        <f t="shared" ca="1" si="1"/>
        <v>-352</v>
      </c>
      <c r="E33" s="90" t="s">
        <v>2</v>
      </c>
      <c r="F33" s="45"/>
      <c r="G33" s="46"/>
      <c r="H33" s="46"/>
      <c r="I33" s="151"/>
      <c r="J33" s="46"/>
      <c r="K33" s="152" t="str">
        <f t="shared" si="33"/>
        <v/>
      </c>
      <c r="L33" s="46"/>
      <c r="M33" s="46" t="str">
        <f t="shared" ref="M33:M38" si="38">IF(R33=0,"",IF(J33="","",L33))</f>
        <v/>
      </c>
      <c r="N33" s="301"/>
      <c r="O33" s="171">
        <f t="shared" si="3"/>
        <v>13238.252242178733</v>
      </c>
      <c r="P33" s="172">
        <f t="shared" si="34"/>
        <v>410381.75672653614</v>
      </c>
      <c r="Q33" s="128">
        <f t="shared" si="4"/>
        <v>410381.75672653614</v>
      </c>
      <c r="R33" s="128">
        <f t="shared" ref="R33:R38" si="39">IF(R$2=3,H33+G33/1.0936133+F33/0.0006213712,IF(R$2=2,H33*1.0936133+G33+F33/0.0005681818,IF(R$2=1,H33*0.0005681818*1.0936133+G33*0.0005681818+F33,"")))</f>
        <v>0</v>
      </c>
      <c r="S33" s="195" t="str">
        <f t="shared" si="12"/>
        <v/>
      </c>
      <c r="T33" s="128"/>
      <c r="U33" s="128"/>
      <c r="V33" s="129" t="str">
        <f t="shared" si="35"/>
        <v/>
      </c>
      <c r="W33" s="129" t="str">
        <f t="shared" si="36"/>
        <v/>
      </c>
      <c r="X33" s="171">
        <f t="shared" ref="X33:Z38" si="40">F33+X32</f>
        <v>0</v>
      </c>
      <c r="Y33" s="171">
        <f t="shared" si="40"/>
        <v>0</v>
      </c>
      <c r="Z33" s="171">
        <f t="shared" si="40"/>
        <v>0</v>
      </c>
      <c r="AA33" s="186">
        <f t="shared" si="8"/>
        <v>0</v>
      </c>
      <c r="AB33" s="173">
        <f t="shared" si="13"/>
        <v>0</v>
      </c>
      <c r="AC33" s="76"/>
      <c r="AD33" s="76"/>
      <c r="AE33" s="76"/>
      <c r="AF33" s="76"/>
      <c r="AG33" s="76"/>
    </row>
    <row r="34" spans="1:33">
      <c r="A34" s="1"/>
      <c r="B34" s="4">
        <f t="shared" si="32"/>
        <v>45644</v>
      </c>
      <c r="C34" s="29">
        <f t="shared" si="37"/>
        <v>45644</v>
      </c>
      <c r="D34" s="6">
        <f t="shared" ca="1" si="1"/>
        <v>-353</v>
      </c>
      <c r="E34" s="90" t="s">
        <v>3</v>
      </c>
      <c r="F34" s="45"/>
      <c r="G34" s="46"/>
      <c r="H34" s="46"/>
      <c r="I34" s="151"/>
      <c r="J34" s="46"/>
      <c r="K34" s="152" t="str">
        <f t="shared" si="33"/>
        <v/>
      </c>
      <c r="L34" s="46"/>
      <c r="M34" s="46" t="str">
        <f t="shared" si="38"/>
        <v/>
      </c>
      <c r="N34" s="301"/>
      <c r="O34" s="171">
        <f t="shared" si="3"/>
        <v>13238.252242178733</v>
      </c>
      <c r="P34" s="172">
        <f t="shared" si="34"/>
        <v>410381.75672653614</v>
      </c>
      <c r="Q34" s="128">
        <f t="shared" si="4"/>
        <v>410381.75672653614</v>
      </c>
      <c r="R34" s="128">
        <f t="shared" si="39"/>
        <v>0</v>
      </c>
      <c r="S34" s="195" t="str">
        <f t="shared" si="12"/>
        <v/>
      </c>
      <c r="T34" s="128"/>
      <c r="U34" s="128"/>
      <c r="V34" s="129" t="str">
        <f t="shared" si="35"/>
        <v/>
      </c>
      <c r="W34" s="129" t="str">
        <f t="shared" si="36"/>
        <v/>
      </c>
      <c r="X34" s="171">
        <f t="shared" si="40"/>
        <v>0</v>
      </c>
      <c r="Y34" s="171">
        <f t="shared" si="40"/>
        <v>0</v>
      </c>
      <c r="Z34" s="171">
        <f t="shared" si="40"/>
        <v>0</v>
      </c>
      <c r="AA34" s="186">
        <f t="shared" si="8"/>
        <v>0</v>
      </c>
      <c r="AB34" s="173">
        <f t="shared" si="13"/>
        <v>0</v>
      </c>
      <c r="AC34" s="76"/>
      <c r="AD34" s="76"/>
      <c r="AE34" s="76"/>
      <c r="AF34" s="76"/>
      <c r="AG34" s="76"/>
    </row>
    <row r="35" spans="1:33">
      <c r="A35" s="1"/>
      <c r="B35" s="4">
        <f t="shared" si="32"/>
        <v>45645</v>
      </c>
      <c r="C35" s="29">
        <f t="shared" si="37"/>
        <v>45645</v>
      </c>
      <c r="D35" s="6">
        <f t="shared" ca="1" si="1"/>
        <v>-354</v>
      </c>
      <c r="E35" s="90" t="s">
        <v>4</v>
      </c>
      <c r="F35" s="45"/>
      <c r="G35" s="46"/>
      <c r="H35" s="46"/>
      <c r="I35" s="151"/>
      <c r="J35" s="46"/>
      <c r="K35" s="152" t="str">
        <f t="shared" si="33"/>
        <v/>
      </c>
      <c r="L35" s="46"/>
      <c r="M35" s="46" t="str">
        <f t="shared" si="38"/>
        <v/>
      </c>
      <c r="N35" s="310"/>
      <c r="O35" s="171">
        <f t="shared" si="3"/>
        <v>13238.252242178733</v>
      </c>
      <c r="P35" s="172">
        <f t="shared" si="34"/>
        <v>410381.75672653614</v>
      </c>
      <c r="Q35" s="128">
        <f t="shared" si="4"/>
        <v>410381.75672653614</v>
      </c>
      <c r="R35" s="128">
        <f t="shared" si="39"/>
        <v>0</v>
      </c>
      <c r="S35" s="195" t="str">
        <f t="shared" si="12"/>
        <v/>
      </c>
      <c r="T35" s="128"/>
      <c r="U35" s="128"/>
      <c r="V35" s="129" t="str">
        <f t="shared" si="35"/>
        <v/>
      </c>
      <c r="W35" s="129" t="str">
        <f t="shared" si="36"/>
        <v/>
      </c>
      <c r="X35" s="171">
        <f t="shared" si="40"/>
        <v>0</v>
      </c>
      <c r="Y35" s="171">
        <f t="shared" si="40"/>
        <v>0</v>
      </c>
      <c r="Z35" s="171">
        <f t="shared" si="40"/>
        <v>0</v>
      </c>
      <c r="AA35" s="186">
        <f t="shared" si="8"/>
        <v>0</v>
      </c>
      <c r="AB35" s="173">
        <f t="shared" si="13"/>
        <v>0</v>
      </c>
      <c r="AC35" s="76"/>
      <c r="AD35" s="76"/>
      <c r="AE35" s="76"/>
      <c r="AF35" s="76"/>
      <c r="AG35" s="76"/>
    </row>
    <row r="36" spans="1:33">
      <c r="A36" s="1"/>
      <c r="B36" s="4">
        <f t="shared" si="32"/>
        <v>45646</v>
      </c>
      <c r="C36" s="29">
        <f t="shared" si="37"/>
        <v>45646</v>
      </c>
      <c r="D36" s="6">
        <f t="shared" ca="1" si="1"/>
        <v>-355</v>
      </c>
      <c r="E36" s="90" t="s">
        <v>5</v>
      </c>
      <c r="F36" s="45"/>
      <c r="G36" s="46"/>
      <c r="H36" s="46"/>
      <c r="I36" s="151"/>
      <c r="J36" s="46"/>
      <c r="K36" s="152" t="str">
        <f t="shared" si="33"/>
        <v/>
      </c>
      <c r="L36" s="46"/>
      <c r="M36" s="46" t="str">
        <f t="shared" si="38"/>
        <v/>
      </c>
      <c r="N36" s="301"/>
      <c r="O36" s="171">
        <f t="shared" si="3"/>
        <v>13238.252242178733</v>
      </c>
      <c r="P36" s="172">
        <f t="shared" si="34"/>
        <v>410381.75672653614</v>
      </c>
      <c r="Q36" s="128">
        <f t="shared" si="4"/>
        <v>410381.75672653614</v>
      </c>
      <c r="R36" s="128">
        <f t="shared" si="39"/>
        <v>0</v>
      </c>
      <c r="S36" s="195" t="str">
        <f t="shared" si="12"/>
        <v/>
      </c>
      <c r="T36" s="128"/>
      <c r="U36" s="128"/>
      <c r="V36" s="129" t="str">
        <f t="shared" si="35"/>
        <v/>
      </c>
      <c r="W36" s="129" t="str">
        <f t="shared" si="36"/>
        <v/>
      </c>
      <c r="X36" s="171">
        <f t="shared" si="40"/>
        <v>0</v>
      </c>
      <c r="Y36" s="171">
        <f t="shared" si="40"/>
        <v>0</v>
      </c>
      <c r="Z36" s="171">
        <f t="shared" si="40"/>
        <v>0</v>
      </c>
      <c r="AA36" s="186">
        <f t="shared" si="8"/>
        <v>0</v>
      </c>
      <c r="AB36" s="173">
        <f t="shared" si="13"/>
        <v>0</v>
      </c>
      <c r="AC36" s="76"/>
      <c r="AD36" s="76"/>
      <c r="AE36" s="76"/>
      <c r="AF36" s="76"/>
      <c r="AG36" s="76"/>
    </row>
    <row r="37" spans="1:33">
      <c r="A37" s="1"/>
      <c r="B37" s="4">
        <f t="shared" si="32"/>
        <v>45647</v>
      </c>
      <c r="C37" s="29">
        <f t="shared" si="37"/>
        <v>45647</v>
      </c>
      <c r="D37" s="6">
        <f t="shared" ca="1" si="1"/>
        <v>-356</v>
      </c>
      <c r="E37" s="90" t="s">
        <v>6</v>
      </c>
      <c r="F37" s="45"/>
      <c r="G37" s="46"/>
      <c r="H37" s="46"/>
      <c r="I37" s="151"/>
      <c r="J37" s="46"/>
      <c r="K37" s="152" t="str">
        <f t="shared" si="33"/>
        <v/>
      </c>
      <c r="L37" s="46"/>
      <c r="M37" s="46" t="str">
        <f t="shared" si="38"/>
        <v/>
      </c>
      <c r="N37" s="310"/>
      <c r="O37" s="171">
        <f t="shared" si="3"/>
        <v>13238.252242178733</v>
      </c>
      <c r="P37" s="172">
        <f t="shared" si="34"/>
        <v>410381.75672653614</v>
      </c>
      <c r="Q37" s="128">
        <f t="shared" si="4"/>
        <v>410381.75672653614</v>
      </c>
      <c r="R37" s="128">
        <f t="shared" si="39"/>
        <v>0</v>
      </c>
      <c r="S37" s="195" t="str">
        <f t="shared" si="12"/>
        <v/>
      </c>
      <c r="T37" s="128"/>
      <c r="U37" s="128"/>
      <c r="V37" s="129" t="str">
        <f t="shared" si="35"/>
        <v/>
      </c>
      <c r="W37" s="129" t="str">
        <f t="shared" si="36"/>
        <v/>
      </c>
      <c r="X37" s="171">
        <f t="shared" si="40"/>
        <v>0</v>
      </c>
      <c r="Y37" s="171">
        <f t="shared" si="40"/>
        <v>0</v>
      </c>
      <c r="Z37" s="171">
        <f t="shared" si="40"/>
        <v>0</v>
      </c>
      <c r="AA37" s="186">
        <f t="shared" si="8"/>
        <v>0</v>
      </c>
      <c r="AB37" s="173">
        <f t="shared" si="13"/>
        <v>0</v>
      </c>
      <c r="AC37" s="76"/>
      <c r="AD37" s="76"/>
      <c r="AE37" s="76"/>
      <c r="AF37" s="76"/>
      <c r="AG37" s="76"/>
    </row>
    <row r="38" spans="1:33" ht="17" thickBot="1">
      <c r="A38" s="1"/>
      <c r="B38" s="43">
        <f t="shared" si="32"/>
        <v>45648</v>
      </c>
      <c r="C38" s="32">
        <f t="shared" si="37"/>
        <v>45648</v>
      </c>
      <c r="D38" s="44">
        <f t="shared" ca="1" si="1"/>
        <v>-357</v>
      </c>
      <c r="E38" s="93" t="s">
        <v>7</v>
      </c>
      <c r="F38" s="45"/>
      <c r="G38" s="46"/>
      <c r="H38" s="46"/>
      <c r="I38" s="151"/>
      <c r="J38" s="46"/>
      <c r="K38" s="152" t="str">
        <f t="shared" si="33"/>
        <v/>
      </c>
      <c r="L38" s="46"/>
      <c r="M38" s="46" t="str">
        <f t="shared" si="38"/>
        <v/>
      </c>
      <c r="N38" s="303"/>
      <c r="O38" s="171">
        <f t="shared" si="3"/>
        <v>13238.252242178733</v>
      </c>
      <c r="P38" s="172">
        <f t="shared" si="34"/>
        <v>410381.75672653614</v>
      </c>
      <c r="Q38" s="128">
        <f t="shared" si="4"/>
        <v>410381.75672653614</v>
      </c>
      <c r="R38" s="128">
        <f t="shared" si="39"/>
        <v>0</v>
      </c>
      <c r="S38" s="195" t="str">
        <f t="shared" si="12"/>
        <v/>
      </c>
      <c r="T38" s="128"/>
      <c r="U38" s="128"/>
      <c r="V38" s="129" t="str">
        <f t="shared" si="35"/>
        <v/>
      </c>
      <c r="W38" s="129" t="str">
        <f t="shared" si="36"/>
        <v/>
      </c>
      <c r="X38" s="171">
        <f t="shared" si="40"/>
        <v>0</v>
      </c>
      <c r="Y38" s="171">
        <f t="shared" si="40"/>
        <v>0</v>
      </c>
      <c r="Z38" s="171">
        <f t="shared" si="40"/>
        <v>0</v>
      </c>
      <c r="AA38" s="186">
        <f t="shared" si="8"/>
        <v>0</v>
      </c>
      <c r="AB38" s="173">
        <f t="shared" si="13"/>
        <v>0</v>
      </c>
      <c r="AC38" s="76"/>
      <c r="AD38" s="76"/>
      <c r="AE38" s="76"/>
      <c r="AF38" s="76"/>
      <c r="AG38" s="76"/>
    </row>
    <row r="39" spans="1:33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71" t="str">
        <f t="shared" si="3"/>
        <v/>
      </c>
      <c r="P39" s="172"/>
      <c r="Q39" s="128">
        <f t="shared" si="4"/>
        <v>0</v>
      </c>
      <c r="R39" s="188"/>
      <c r="S39" s="195" t="str">
        <f t="shared" si="12"/>
        <v/>
      </c>
      <c r="T39" s="188"/>
      <c r="U39" s="188"/>
      <c r="V39" s="188"/>
      <c r="W39" s="188"/>
      <c r="X39" s="95"/>
      <c r="Y39" s="95"/>
      <c r="Z39" s="95"/>
      <c r="AA39" s="186">
        <f t="shared" si="8"/>
        <v>0</v>
      </c>
      <c r="AB39" s="173">
        <f t="shared" si="13"/>
        <v>0</v>
      </c>
      <c r="AC39" s="76"/>
      <c r="AD39" s="76"/>
      <c r="AE39" s="76"/>
      <c r="AF39" s="76"/>
      <c r="AG39" s="76"/>
    </row>
    <row r="40" spans="1:33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57.580497212594487</v>
      </c>
      <c r="G40" s="53">
        <f>H40*1.0936113</f>
        <v>101341.67833710001</v>
      </c>
      <c r="H40" s="5">
        <f>INT(SUM($O32:$O38))</f>
        <v>92667</v>
      </c>
      <c r="I40" s="120"/>
      <c r="J40" s="123"/>
      <c r="K40" s="124"/>
      <c r="L40" s="159">
        <f>COUNT(S5:S51)-COUNT(V5:V51)</f>
        <v>0</v>
      </c>
      <c r="M40" s="124"/>
      <c r="N40" s="124"/>
      <c r="O40" s="171" t="str">
        <f t="shared" si="3"/>
        <v/>
      </c>
      <c r="P40" s="172"/>
      <c r="Q40" s="128">
        <f t="shared" si="4"/>
        <v>0</v>
      </c>
      <c r="R40" s="189"/>
      <c r="S40" s="195" t="str">
        <f t="shared" si="12"/>
        <v/>
      </c>
      <c r="T40" s="189"/>
      <c r="U40" s="189"/>
      <c r="V40" s="189"/>
      <c r="W40" s="189"/>
      <c r="X40" s="95"/>
      <c r="Y40" s="95"/>
      <c r="Z40" s="95"/>
      <c r="AA40" s="186">
        <f t="shared" si="8"/>
        <v>0</v>
      </c>
      <c r="AB40" s="173">
        <f t="shared" si="13"/>
        <v>0</v>
      </c>
      <c r="AC40" s="76"/>
      <c r="AD40" s="76"/>
      <c r="AE40" s="76"/>
      <c r="AF40" s="76"/>
      <c r="AG40" s="76"/>
    </row>
    <row r="41" spans="1:33" ht="17" thickTop="1">
      <c r="A41" s="1"/>
      <c r="B41" s="47">
        <f t="shared" ref="B41:B47" si="41">IF(B$3&lt;C41,0,C41)</f>
        <v>45649</v>
      </c>
      <c r="C41" s="31">
        <f>C38+1</f>
        <v>45649</v>
      </c>
      <c r="D41" s="18">
        <f t="shared" ca="1" si="1"/>
        <v>-358</v>
      </c>
      <c r="E41" s="94" t="str">
        <f>IF(B41=0,"","Monday")</f>
        <v>Monday</v>
      </c>
      <c r="F41" s="45"/>
      <c r="G41" s="46"/>
      <c r="H41" s="46"/>
      <c r="I41" s="151"/>
      <c r="J41" s="101"/>
      <c r="K41" s="152" t="str">
        <f t="shared" ref="K41:K47" si="42">IF(R41=0,"",IF(L41="","",J41))</f>
        <v/>
      </c>
      <c r="L41" s="101"/>
      <c r="M41" s="46" t="str">
        <f>IF(R41=0,"",IF(J41="","",L41))</f>
        <v/>
      </c>
      <c r="N41" s="301"/>
      <c r="O41" s="171">
        <f t="shared" si="3"/>
        <v>13238.252242178733</v>
      </c>
      <c r="P41" s="172">
        <f t="shared" ref="P41:P47" si="43">H$56</f>
        <v>410381.75672653614</v>
      </c>
      <c r="Q41" s="128">
        <f t="shared" si="4"/>
        <v>410381.75672653614</v>
      </c>
      <c r="R41" s="128">
        <f>IF(R$2=3,H41+G41/1.0936133+F41/0.0006213712,IF(R$2=2,H41*1.0936133+G41+F41/0.0005681818,IF(R$2=1,H41*0.0005681818*1.0936133+G41*0.0005681818+F41,"")))</f>
        <v>0</v>
      </c>
      <c r="S41" s="195" t="str">
        <f t="shared" si="12"/>
        <v/>
      </c>
      <c r="T41" s="128"/>
      <c r="U41" s="128"/>
      <c r="V41" s="129" t="str">
        <f t="shared" ref="V41:V47" si="44">IF(L41="","",IF(R41=0,"",IF(B41=0,"",IF($R$2=3,R41/L41*60/1000,IF($R$2=2,R41/L41*60/1760,IF($R$2=1,R41/L41*60,""))))))</f>
        <v/>
      </c>
      <c r="W41" s="129" t="str">
        <f t="shared" ref="W41:W47" si="45">IF(R41=0,"",IF(L41="","",V41*L41))</f>
        <v/>
      </c>
      <c r="X41" s="171">
        <f>F41+X38</f>
        <v>0</v>
      </c>
      <c r="Y41" s="171">
        <f>G41+Y38</f>
        <v>0</v>
      </c>
      <c r="Z41" s="171">
        <f>H41+Z38</f>
        <v>0</v>
      </c>
      <c r="AA41" s="186">
        <f t="shared" si="8"/>
        <v>0</v>
      </c>
      <c r="AB41" s="173">
        <f t="shared" si="13"/>
        <v>0</v>
      </c>
      <c r="AC41" s="76"/>
      <c r="AD41" s="76"/>
      <c r="AE41" s="76"/>
      <c r="AF41" s="76"/>
      <c r="AG41" s="76"/>
    </row>
    <row r="42" spans="1:33">
      <c r="A42" s="1"/>
      <c r="B42" s="4">
        <f t="shared" si="41"/>
        <v>45650</v>
      </c>
      <c r="C42" s="29">
        <f t="shared" ref="C42:C47" si="46">C41+1</f>
        <v>45650</v>
      </c>
      <c r="D42" s="6">
        <f t="shared" ca="1" si="1"/>
        <v>-359</v>
      </c>
      <c r="E42" s="90" t="str">
        <f>IF(B42=0,"","Tuesday")</f>
        <v>Tuesday</v>
      </c>
      <c r="F42" s="45"/>
      <c r="G42" s="46"/>
      <c r="H42" s="46"/>
      <c r="I42" s="151"/>
      <c r="J42" s="46"/>
      <c r="K42" s="152" t="str">
        <f t="shared" si="42"/>
        <v/>
      </c>
      <c r="L42" s="46"/>
      <c r="M42" s="46" t="str">
        <f t="shared" ref="M42:M47" si="47">IF(R42=0,"",IF(J42="","",L42))</f>
        <v/>
      </c>
      <c r="N42" s="301"/>
      <c r="O42" s="171">
        <f t="shared" si="3"/>
        <v>13238.252242178733</v>
      </c>
      <c r="P42" s="172">
        <f t="shared" si="43"/>
        <v>410381.75672653614</v>
      </c>
      <c r="Q42" s="128">
        <f t="shared" si="4"/>
        <v>410381.75672653614</v>
      </c>
      <c r="R42" s="128">
        <f t="shared" ref="R42:R47" si="48">IF(R$2=3,H42+G42/1.0936133+F42/0.0006213712,IF(R$2=2,H42*1.0936133+G42+F42/0.0005681818,IF(R$2=1,H42*0.0005681818*1.0936133+G42*0.0005681818+F42,"")))</f>
        <v>0</v>
      </c>
      <c r="S42" s="195" t="str">
        <f t="shared" si="12"/>
        <v/>
      </c>
      <c r="T42" s="128"/>
      <c r="U42" s="128"/>
      <c r="V42" s="129" t="str">
        <f t="shared" si="44"/>
        <v/>
      </c>
      <c r="W42" s="129" t="str">
        <f t="shared" si="45"/>
        <v/>
      </c>
      <c r="X42" s="171">
        <f t="shared" ref="X42:Z47" si="49">F42+X41</f>
        <v>0</v>
      </c>
      <c r="Y42" s="171">
        <f t="shared" si="49"/>
        <v>0</v>
      </c>
      <c r="Z42" s="171">
        <f t="shared" si="49"/>
        <v>0</v>
      </c>
      <c r="AA42" s="186">
        <f t="shared" si="8"/>
        <v>0</v>
      </c>
      <c r="AB42" s="173">
        <f t="shared" si="13"/>
        <v>0</v>
      </c>
      <c r="AC42" s="76"/>
      <c r="AD42" s="76"/>
      <c r="AE42" s="76"/>
      <c r="AF42" s="76"/>
      <c r="AG42" s="76"/>
    </row>
    <row r="43" spans="1:33">
      <c r="A43" s="1"/>
      <c r="B43" s="4">
        <f t="shared" si="41"/>
        <v>45651</v>
      </c>
      <c r="C43" s="29">
        <f t="shared" si="46"/>
        <v>45651</v>
      </c>
      <c r="D43" s="6">
        <f t="shared" ca="1" si="1"/>
        <v>-360</v>
      </c>
      <c r="E43" s="90" t="str">
        <f>IF(B43=0,"","Wednesday")</f>
        <v>Wednesday</v>
      </c>
      <c r="F43" s="45"/>
      <c r="G43" s="46"/>
      <c r="H43" s="46"/>
      <c r="I43" s="151"/>
      <c r="J43" s="46"/>
      <c r="K43" s="152" t="str">
        <f t="shared" si="42"/>
        <v/>
      </c>
      <c r="L43" s="46"/>
      <c r="M43" s="46" t="str">
        <f t="shared" si="47"/>
        <v/>
      </c>
      <c r="N43" s="301"/>
      <c r="O43" s="171">
        <f t="shared" si="3"/>
        <v>13238.252242178733</v>
      </c>
      <c r="P43" s="172">
        <f t="shared" si="43"/>
        <v>410381.75672653614</v>
      </c>
      <c r="Q43" s="128">
        <f t="shared" si="4"/>
        <v>410381.75672653614</v>
      </c>
      <c r="R43" s="128">
        <f t="shared" si="48"/>
        <v>0</v>
      </c>
      <c r="S43" s="195" t="str">
        <f t="shared" si="12"/>
        <v/>
      </c>
      <c r="T43" s="128"/>
      <c r="U43" s="128"/>
      <c r="V43" s="129" t="str">
        <f t="shared" si="44"/>
        <v/>
      </c>
      <c r="W43" s="129" t="str">
        <f t="shared" si="45"/>
        <v/>
      </c>
      <c r="X43" s="171">
        <f t="shared" si="49"/>
        <v>0</v>
      </c>
      <c r="Y43" s="171">
        <f t="shared" si="49"/>
        <v>0</v>
      </c>
      <c r="Z43" s="171">
        <f t="shared" si="49"/>
        <v>0</v>
      </c>
      <c r="AA43" s="186">
        <f t="shared" si="8"/>
        <v>0</v>
      </c>
      <c r="AB43" s="173">
        <f t="shared" si="13"/>
        <v>0</v>
      </c>
      <c r="AC43" s="76"/>
      <c r="AD43" s="76"/>
      <c r="AE43" s="76"/>
      <c r="AF43" s="76"/>
      <c r="AG43" s="76"/>
    </row>
    <row r="44" spans="1:33">
      <c r="A44" s="1"/>
      <c r="B44" s="4">
        <f t="shared" si="41"/>
        <v>45652</v>
      </c>
      <c r="C44" s="29">
        <f t="shared" si="46"/>
        <v>45652</v>
      </c>
      <c r="D44" s="6">
        <f t="shared" ca="1" si="1"/>
        <v>-361</v>
      </c>
      <c r="E44" s="90" t="str">
        <f>IF(B44=0,"","Thursday")</f>
        <v>Thursday</v>
      </c>
      <c r="F44" s="45"/>
      <c r="G44" s="46"/>
      <c r="H44" s="46"/>
      <c r="I44" s="151"/>
      <c r="J44" s="46"/>
      <c r="K44" s="152" t="str">
        <f t="shared" si="42"/>
        <v/>
      </c>
      <c r="L44" s="46"/>
      <c r="M44" s="46" t="str">
        <f t="shared" si="47"/>
        <v/>
      </c>
      <c r="N44" s="301"/>
      <c r="O44" s="171">
        <f t="shared" si="3"/>
        <v>13238.252242178733</v>
      </c>
      <c r="P44" s="172">
        <f t="shared" si="43"/>
        <v>410381.75672653614</v>
      </c>
      <c r="Q44" s="128">
        <f t="shared" si="4"/>
        <v>410381.75672653614</v>
      </c>
      <c r="R44" s="128">
        <f t="shared" si="48"/>
        <v>0</v>
      </c>
      <c r="S44" s="195" t="str">
        <f t="shared" si="12"/>
        <v/>
      </c>
      <c r="T44" s="128"/>
      <c r="U44" s="128"/>
      <c r="V44" s="129" t="str">
        <f t="shared" si="44"/>
        <v/>
      </c>
      <c r="W44" s="129" t="str">
        <f t="shared" si="45"/>
        <v/>
      </c>
      <c r="X44" s="171">
        <f t="shared" si="49"/>
        <v>0</v>
      </c>
      <c r="Y44" s="171">
        <f t="shared" si="49"/>
        <v>0</v>
      </c>
      <c r="Z44" s="171">
        <f t="shared" si="49"/>
        <v>0</v>
      </c>
      <c r="AA44" s="186">
        <f t="shared" si="8"/>
        <v>0</v>
      </c>
      <c r="AB44" s="173">
        <f t="shared" si="13"/>
        <v>0</v>
      </c>
      <c r="AC44" s="76"/>
      <c r="AD44" s="76"/>
      <c r="AE44" s="76"/>
      <c r="AF44" s="76"/>
      <c r="AG44" s="76"/>
    </row>
    <row r="45" spans="1:33">
      <c r="A45" s="1"/>
      <c r="B45" s="4">
        <f t="shared" si="41"/>
        <v>45653</v>
      </c>
      <c r="C45" s="29">
        <f t="shared" si="46"/>
        <v>45653</v>
      </c>
      <c r="D45" s="6">
        <f t="shared" ca="1" si="1"/>
        <v>-362</v>
      </c>
      <c r="E45" s="90" t="str">
        <f>IF(B45=0,"","Friday")</f>
        <v>Friday</v>
      </c>
      <c r="F45" s="45"/>
      <c r="G45" s="46"/>
      <c r="H45" s="46"/>
      <c r="I45" s="151"/>
      <c r="J45" s="46"/>
      <c r="K45" s="152" t="str">
        <f t="shared" si="42"/>
        <v/>
      </c>
      <c r="L45" s="46"/>
      <c r="M45" s="46" t="str">
        <f t="shared" si="47"/>
        <v/>
      </c>
      <c r="N45" s="301"/>
      <c r="O45" s="171">
        <f t="shared" si="3"/>
        <v>13238.252242178733</v>
      </c>
      <c r="P45" s="172">
        <f t="shared" si="43"/>
        <v>410381.75672653614</v>
      </c>
      <c r="Q45" s="128">
        <f t="shared" si="4"/>
        <v>410381.75672653614</v>
      </c>
      <c r="R45" s="128">
        <f t="shared" si="48"/>
        <v>0</v>
      </c>
      <c r="S45" s="195" t="str">
        <f t="shared" si="12"/>
        <v/>
      </c>
      <c r="T45" s="128"/>
      <c r="U45" s="128"/>
      <c r="V45" s="129" t="str">
        <f t="shared" si="44"/>
        <v/>
      </c>
      <c r="W45" s="129" t="str">
        <f t="shared" si="45"/>
        <v/>
      </c>
      <c r="X45" s="171">
        <f t="shared" si="49"/>
        <v>0</v>
      </c>
      <c r="Y45" s="171">
        <f t="shared" si="49"/>
        <v>0</v>
      </c>
      <c r="Z45" s="171">
        <f t="shared" si="49"/>
        <v>0</v>
      </c>
      <c r="AA45" s="186">
        <f t="shared" si="8"/>
        <v>0</v>
      </c>
      <c r="AB45" s="173">
        <f t="shared" si="13"/>
        <v>0</v>
      </c>
      <c r="AC45" s="76"/>
      <c r="AD45" s="76"/>
      <c r="AE45" s="76"/>
      <c r="AF45" s="76"/>
      <c r="AG45" s="76"/>
    </row>
    <row r="46" spans="1:33">
      <c r="A46" s="1"/>
      <c r="B46" s="4">
        <f t="shared" si="41"/>
        <v>45654</v>
      </c>
      <c r="C46" s="29">
        <f t="shared" si="46"/>
        <v>45654</v>
      </c>
      <c r="D46" s="6">
        <f t="shared" ca="1" si="1"/>
        <v>-363</v>
      </c>
      <c r="E46" s="90" t="str">
        <f>IF(B46=0,"","Saturday")</f>
        <v>Saturday</v>
      </c>
      <c r="F46" s="45"/>
      <c r="G46" s="46"/>
      <c r="H46" s="46"/>
      <c r="I46" s="151"/>
      <c r="J46" s="46"/>
      <c r="K46" s="152" t="str">
        <f t="shared" si="42"/>
        <v/>
      </c>
      <c r="L46" s="46"/>
      <c r="M46" s="46" t="str">
        <f t="shared" si="47"/>
        <v/>
      </c>
      <c r="N46" s="301"/>
      <c r="O46" s="171">
        <f t="shared" si="3"/>
        <v>13238.252242178733</v>
      </c>
      <c r="P46" s="172">
        <f t="shared" si="43"/>
        <v>410381.75672653614</v>
      </c>
      <c r="Q46" s="128">
        <f t="shared" si="4"/>
        <v>410381.75672653614</v>
      </c>
      <c r="R46" s="128">
        <f t="shared" si="48"/>
        <v>0</v>
      </c>
      <c r="S46" s="195" t="str">
        <f t="shared" si="12"/>
        <v/>
      </c>
      <c r="T46" s="128"/>
      <c r="U46" s="128"/>
      <c r="V46" s="129" t="str">
        <f t="shared" si="44"/>
        <v/>
      </c>
      <c r="W46" s="129" t="str">
        <f t="shared" si="45"/>
        <v/>
      </c>
      <c r="X46" s="171">
        <f t="shared" si="49"/>
        <v>0</v>
      </c>
      <c r="Y46" s="171">
        <f t="shared" si="49"/>
        <v>0</v>
      </c>
      <c r="Z46" s="171">
        <f t="shared" si="49"/>
        <v>0</v>
      </c>
      <c r="AA46" s="186">
        <f t="shared" si="8"/>
        <v>0</v>
      </c>
      <c r="AB46" s="173">
        <f t="shared" si="13"/>
        <v>0</v>
      </c>
      <c r="AC46" s="76"/>
      <c r="AD46" s="76"/>
      <c r="AE46" s="76"/>
      <c r="AF46" s="76"/>
      <c r="AG46" s="76"/>
    </row>
    <row r="47" spans="1:33" ht="17" thickBot="1">
      <c r="A47" s="1"/>
      <c r="B47" s="43">
        <f t="shared" si="41"/>
        <v>45655</v>
      </c>
      <c r="C47" s="32">
        <f t="shared" si="46"/>
        <v>45655</v>
      </c>
      <c r="D47" s="44">
        <f t="shared" ca="1" si="1"/>
        <v>-364</v>
      </c>
      <c r="E47" s="93" t="str">
        <f>IF(B47=0,"","Sunday")</f>
        <v>Sunday</v>
      </c>
      <c r="F47" s="45"/>
      <c r="G47" s="46"/>
      <c r="H47" s="46"/>
      <c r="I47" s="151"/>
      <c r="J47" s="46"/>
      <c r="K47" s="152" t="str">
        <f t="shared" si="42"/>
        <v/>
      </c>
      <c r="L47" s="46"/>
      <c r="M47" s="46" t="str">
        <f t="shared" si="47"/>
        <v/>
      </c>
      <c r="N47" s="302"/>
      <c r="O47" s="171">
        <f t="shared" si="3"/>
        <v>13238.252242178733</v>
      </c>
      <c r="P47" s="172">
        <f t="shared" si="43"/>
        <v>410381.75672653614</v>
      </c>
      <c r="Q47" s="128">
        <f t="shared" si="4"/>
        <v>410381.75672653614</v>
      </c>
      <c r="R47" s="128">
        <f t="shared" si="48"/>
        <v>0</v>
      </c>
      <c r="S47" s="195" t="str">
        <f t="shared" si="12"/>
        <v/>
      </c>
      <c r="T47" s="128"/>
      <c r="U47" s="128"/>
      <c r="V47" s="129" t="str">
        <f t="shared" si="44"/>
        <v/>
      </c>
      <c r="W47" s="129" t="str">
        <f t="shared" si="45"/>
        <v/>
      </c>
      <c r="X47" s="171">
        <f t="shared" si="49"/>
        <v>0</v>
      </c>
      <c r="Y47" s="171">
        <f t="shared" si="49"/>
        <v>0</v>
      </c>
      <c r="Z47" s="171">
        <f t="shared" si="49"/>
        <v>0</v>
      </c>
      <c r="AA47" s="186">
        <f t="shared" si="8"/>
        <v>0</v>
      </c>
      <c r="AB47" s="173">
        <f t="shared" si="13"/>
        <v>0</v>
      </c>
      <c r="AC47" s="76"/>
      <c r="AD47" s="76"/>
      <c r="AE47" s="76"/>
      <c r="AF47" s="76"/>
      <c r="AG47" s="76"/>
    </row>
    <row r="48" spans="1:33" ht="17" customHeight="1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71" t="str">
        <f t="shared" si="3"/>
        <v/>
      </c>
      <c r="P48" s="79"/>
      <c r="Q48" s="128">
        <f t="shared" si="4"/>
        <v>0</v>
      </c>
      <c r="R48" s="188"/>
      <c r="S48" s="195" t="str">
        <f t="shared" si="12"/>
        <v/>
      </c>
      <c r="T48" s="188"/>
      <c r="U48" s="188"/>
      <c r="V48" s="188"/>
      <c r="W48" s="188"/>
      <c r="X48" s="171"/>
      <c r="Y48" s="171" t="str">
        <f>IF(A48=0,"",G48+Y36)</f>
        <v/>
      </c>
      <c r="Z48" s="171" t="str">
        <f>IF(B48=0,"",H48+Z36)</f>
        <v/>
      </c>
      <c r="AA48" s="186"/>
      <c r="AB48" s="173">
        <f t="shared" si="13"/>
        <v>0</v>
      </c>
      <c r="AC48" s="76"/>
      <c r="AD48" s="76"/>
      <c r="AE48" s="76"/>
      <c r="AF48" s="76"/>
      <c r="AG48" s="76"/>
    </row>
    <row r="49" spans="1:33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57.580497212594487</v>
      </c>
      <c r="G49" s="53">
        <f>H49*1.0936113</f>
        <v>101341.67833710001</v>
      </c>
      <c r="H49" s="5">
        <f>INT(SUM($O41:$O47))</f>
        <v>92667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71" t="str">
        <f t="shared" si="3"/>
        <v/>
      </c>
      <c r="P49" s="95"/>
      <c r="Q49" s="128">
        <f t="shared" si="4"/>
        <v>0</v>
      </c>
      <c r="R49" s="189"/>
      <c r="S49" s="195" t="str">
        <f t="shared" si="12"/>
        <v/>
      </c>
      <c r="T49" s="189"/>
      <c r="U49" s="189"/>
      <c r="V49" s="189"/>
      <c r="W49" s="189"/>
      <c r="X49" s="171"/>
      <c r="Y49" s="171" t="str">
        <f>IF(A49=0,"",G49+Y37)</f>
        <v/>
      </c>
      <c r="Z49" s="171" t="str">
        <f>IF(B49=0,"",H49+Z37)</f>
        <v/>
      </c>
      <c r="AA49" s="186"/>
      <c r="AB49" s="173">
        <f t="shared" si="13"/>
        <v>0</v>
      </c>
      <c r="AC49" s="76"/>
      <c r="AD49" s="76"/>
      <c r="AE49" s="76"/>
      <c r="AF49" s="76"/>
      <c r="AG49" s="76"/>
    </row>
    <row r="50" spans="1:33" ht="17" thickTop="1">
      <c r="A50" s="1"/>
      <c r="B50" s="47">
        <f>IF(B$3&lt;C50,0,C50)</f>
        <v>45656</v>
      </c>
      <c r="C50" s="31">
        <f>C47+1</f>
        <v>45656</v>
      </c>
      <c r="D50" s="18">
        <f t="shared" ca="1" si="1"/>
        <v>-365</v>
      </c>
      <c r="E50" s="94" t="str">
        <f>IF(B50=0,"","Monday")</f>
        <v>Monday</v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71">
        <f t="shared" si="3"/>
        <v>13238.252242178733</v>
      </c>
      <c r="P50" s="172">
        <f>H$56</f>
        <v>410381.75672653614</v>
      </c>
      <c r="Q50" s="128">
        <f t="shared" si="4"/>
        <v>410381.75672653614</v>
      </c>
      <c r="R50" s="128">
        <f>IF(R$2=3,H50+G50/1.0936133+F50/0.0006213712,IF(R$2=2,H50*1.0936133+G50+F50/0.0005681818,IF(R$2=1,H50*0.0005681818*1.0936133+G50*0.0005681818+F50,"")))</f>
        <v>0</v>
      </c>
      <c r="S50" s="195" t="str">
        <f t="shared" si="12"/>
        <v/>
      </c>
      <c r="T50" s="128"/>
      <c r="U50" s="128"/>
      <c r="V50" s="129" t="str">
        <f>IF(L50="","",IF(R50=0,"",IF(B50=0,"",IF($R$2=3,R50/L50*60/1000,IF($R$2=2,R50/L50*60/1760,IF($R$2=1,R50/L50*60,""))))))</f>
        <v/>
      </c>
      <c r="W50" s="129" t="str">
        <f>IF(R50=0,"",IF(L50="","",V50*L50))</f>
        <v/>
      </c>
      <c r="X50" s="171">
        <f>F50+X47</f>
        <v>0</v>
      </c>
      <c r="Y50" s="171">
        <f>G50+Y47</f>
        <v>0</v>
      </c>
      <c r="Z50" s="171">
        <f>H50+Z47</f>
        <v>0</v>
      </c>
      <c r="AA50" s="186">
        <f t="shared" si="8"/>
        <v>0</v>
      </c>
      <c r="AB50" s="173">
        <f t="shared" si="13"/>
        <v>0</v>
      </c>
      <c r="AC50" s="76"/>
      <c r="AD50" s="76"/>
      <c r="AE50" s="76"/>
      <c r="AF50" s="76"/>
      <c r="AG50" s="76"/>
    </row>
    <row r="51" spans="1:33" ht="17" thickBot="1">
      <c r="A51" s="1"/>
      <c r="B51" s="4">
        <f>IF(B$3&lt;C51,0,C51)</f>
        <v>45657</v>
      </c>
      <c r="C51" s="29">
        <f>C50+1</f>
        <v>45657</v>
      </c>
      <c r="D51" s="6">
        <f t="shared" ca="1" si="1"/>
        <v>-366</v>
      </c>
      <c r="E51" s="90" t="str">
        <f>IF(B51=0,"","Tuesday")</f>
        <v>Tuesday</v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71">
        <f t="shared" si="3"/>
        <v>13238.252242178733</v>
      </c>
      <c r="P51" s="172">
        <f>H$56</f>
        <v>410381.75672653614</v>
      </c>
      <c r="Q51" s="128">
        <f t="shared" si="4"/>
        <v>410381.75672653614</v>
      </c>
      <c r="R51" s="128">
        <f>IF(R$2=3,H51+G51/1.0936133+F51/0.0006213712,IF(R$2=2,H51*1.0936133+G51+F51/0.0005681818,IF(R$2=1,H51*0.0005681818*1.0936133+G51*0.0005681818+F51,"")))</f>
        <v>0</v>
      </c>
      <c r="S51" s="195" t="str">
        <f t="shared" si="12"/>
        <v/>
      </c>
      <c r="T51" s="128"/>
      <c r="U51" s="128"/>
      <c r="V51" s="129" t="str">
        <f>IF(L51="","",IF(R51=0,"",IF(B51=0,"",IF($R$2=3,R51/L51*60/1000,IF($R$2=2,R51/L51*60/1760,IF($R$2=1,R51/L51*60,""))))))</f>
        <v/>
      </c>
      <c r="W51" s="129" t="str">
        <f>IF(R51=0,"",IF(L51="","",V51*L51))</f>
        <v/>
      </c>
      <c r="X51" s="171">
        <f>F51+X50</f>
        <v>0</v>
      </c>
      <c r="Y51" s="171">
        <f>G51+Y50</f>
        <v>0</v>
      </c>
      <c r="Z51" s="171">
        <f>H51+Z50</f>
        <v>0</v>
      </c>
      <c r="AA51" s="186">
        <f t="shared" si="8"/>
        <v>0</v>
      </c>
      <c r="AB51" s="173">
        <f t="shared" si="13"/>
        <v>0</v>
      </c>
      <c r="AC51" s="76"/>
      <c r="AD51" s="76"/>
      <c r="AE51" s="76"/>
      <c r="AF51" s="76"/>
      <c r="AG51" s="76"/>
    </row>
    <row r="52" spans="1:33" ht="18" thickTop="1" thickBot="1">
      <c r="A52" s="25"/>
      <c r="B52" s="12"/>
      <c r="C52" s="33"/>
      <c r="D52" s="50"/>
      <c r="E52" s="89" t="s">
        <v>65</v>
      </c>
      <c r="F52" s="49">
        <f ca="1">G52*0.000568181818</f>
        <v>-1.2427401132386871E-58</v>
      </c>
      <c r="G52" s="15">
        <f ca="1">H52*1.0936113</f>
        <v>-2.1872226000000002E-55</v>
      </c>
      <c r="H52" s="102">
        <f ca="1">IF(SUM(B50:B51)=0,-1E-55,IF(TODAY()&gt;=B50,(AA51-AA47)*1000,-2E-55))</f>
        <v>-2E-55</v>
      </c>
      <c r="I52" s="250"/>
      <c r="J52" s="495" t="s">
        <v>93</v>
      </c>
      <c r="K52" s="496"/>
      <c r="L52" s="496"/>
      <c r="M52" s="253"/>
      <c r="N52" s="254" t="str">
        <f>IF(R$2=1,"Distance (miles)",IF(R$2=2,"Distance (yds)",IF(R$2=3,"Distance (km)","????")))</f>
        <v>Distance (km)</v>
      </c>
      <c r="O52" s="171"/>
      <c r="P52" s="95" t="s">
        <v>1</v>
      </c>
      <c r="Q52" s="95" t="s">
        <v>2</v>
      </c>
      <c r="R52" s="95" t="s">
        <v>3</v>
      </c>
      <c r="S52" s="95" t="s">
        <v>4</v>
      </c>
      <c r="T52" s="95" t="s">
        <v>5</v>
      </c>
      <c r="U52" s="95" t="s">
        <v>6</v>
      </c>
      <c r="V52" s="95" t="s">
        <v>7</v>
      </c>
      <c r="W52" s="171"/>
      <c r="X52" s="171"/>
      <c r="Y52" s="171"/>
      <c r="Z52" s="186"/>
      <c r="AA52" s="173"/>
      <c r="AB52" s="79"/>
      <c r="AC52" s="76"/>
      <c r="AD52" s="76"/>
      <c r="AE52" s="76"/>
      <c r="AF52" s="76"/>
      <c r="AG52" s="76"/>
    </row>
    <row r="53" spans="1:33" ht="17" thickBot="1">
      <c r="A53" s="24"/>
      <c r="B53" s="13"/>
      <c r="C53" s="30"/>
      <c r="D53" s="51"/>
      <c r="E53" s="92" t="s">
        <v>27</v>
      </c>
      <c r="F53" s="52">
        <f>G53*0.0005681818</f>
        <v>16.451706569337418</v>
      </c>
      <c r="G53" s="53">
        <f>H53*1.0936113</f>
        <v>28955.004488594001</v>
      </c>
      <c r="H53" s="104">
        <f>IF(SUM($O50:$O51)=0,-1E-55,SUM($O50:$O51))</f>
        <v>26476.504484357465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190" t="s">
        <v>48</v>
      </c>
      <c r="P53" s="95">
        <f t="shared" ref="P53:V53" si="50">COUNTIFS($E$5:$E$51,P52)</f>
        <v>5</v>
      </c>
      <c r="Q53" s="95">
        <f t="shared" si="50"/>
        <v>5</v>
      </c>
      <c r="R53" s="95">
        <f t="shared" si="50"/>
        <v>4</v>
      </c>
      <c r="S53" s="95">
        <f t="shared" si="50"/>
        <v>4</v>
      </c>
      <c r="T53" s="95">
        <f t="shared" si="50"/>
        <v>4</v>
      </c>
      <c r="U53" s="95">
        <f t="shared" si="50"/>
        <v>4</v>
      </c>
      <c r="V53" s="95">
        <f t="shared" si="50"/>
        <v>5</v>
      </c>
      <c r="W53" s="171"/>
      <c r="X53" s="171"/>
      <c r="Y53" s="171"/>
      <c r="Z53" s="186"/>
      <c r="AA53" s="173"/>
      <c r="AB53" s="79"/>
      <c r="AC53" s="76"/>
      <c r="AD53" s="76"/>
      <c r="AE53" s="76"/>
      <c r="AF53" s="76"/>
      <c r="AG53" s="76"/>
    </row>
    <row r="54" spans="1:33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1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190" t="s">
        <v>47</v>
      </c>
      <c r="P54" s="95">
        <f t="shared" ref="P54:V54" ca="1" si="52">COUNTIFS($D$5:$D$51,"&gt;-1",$E$5:$E$51,P52)</f>
        <v>0</v>
      </c>
      <c r="Q54" s="95">
        <f t="shared" ca="1" si="52"/>
        <v>0</v>
      </c>
      <c r="R54" s="95">
        <f t="shared" ca="1" si="52"/>
        <v>0</v>
      </c>
      <c r="S54" s="95">
        <f t="shared" ca="1" si="52"/>
        <v>0</v>
      </c>
      <c r="T54" s="95">
        <f t="shared" ca="1" si="52"/>
        <v>0</v>
      </c>
      <c r="U54" s="95">
        <f t="shared" ca="1" si="52"/>
        <v>0</v>
      </c>
      <c r="V54" s="95">
        <f t="shared" ca="1" si="52"/>
        <v>0</v>
      </c>
      <c r="W54" s="171"/>
      <c r="X54" s="171"/>
      <c r="Y54" s="171"/>
      <c r="Z54" s="186"/>
      <c r="AA54" s="173"/>
      <c r="AB54" s="79"/>
      <c r="AC54" s="76"/>
      <c r="AD54" s="76"/>
      <c r="AE54" s="76"/>
      <c r="AF54" s="76"/>
      <c r="AG54" s="76"/>
    </row>
    <row r="55" spans="1:33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1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190" t="s">
        <v>66</v>
      </c>
      <c r="P55" s="95">
        <f t="shared" ref="P55:V55" si="53">COUNTIFS($E$5:$E$51,P52,$R$5:$R$51,"&gt;0")</f>
        <v>0</v>
      </c>
      <c r="Q55" s="95">
        <f t="shared" si="53"/>
        <v>0</v>
      </c>
      <c r="R55" s="95">
        <f t="shared" si="53"/>
        <v>0</v>
      </c>
      <c r="S55" s="95">
        <f t="shared" si="53"/>
        <v>0</v>
      </c>
      <c r="T55" s="95">
        <f t="shared" si="53"/>
        <v>0</v>
      </c>
      <c r="U55" s="95">
        <f t="shared" si="53"/>
        <v>0</v>
      </c>
      <c r="V55" s="95">
        <f t="shared" si="53"/>
        <v>0</v>
      </c>
      <c r="W55" s="171"/>
      <c r="X55" s="171"/>
      <c r="Y55" s="171"/>
      <c r="Z55" s="186"/>
      <c r="AA55" s="173"/>
      <c r="AB55" s="79"/>
      <c r="AC55" s="76"/>
      <c r="AD55" s="76"/>
      <c r="AE55" s="76"/>
      <c r="AF55" s="76"/>
      <c r="AG55" s="76"/>
    </row>
    <row r="56" spans="1:33" ht="17" thickBot="1">
      <c r="A56" s="27"/>
      <c r="B56" s="35"/>
      <c r="C56" s="35"/>
      <c r="D56" s="35"/>
      <c r="E56" s="17" t="s">
        <v>41</v>
      </c>
      <c r="F56" s="37">
        <f>G56*0.000568181818</f>
        <v>254.99893541271339</v>
      </c>
      <c r="G56" s="38">
        <f>H56*1.0936113</f>
        <v>448798.12646999094</v>
      </c>
      <c r="H56" s="106">
        <f>SUM(H$53,H40,H31,H22,H49,H13)-1</f>
        <v>410381.75672653614</v>
      </c>
      <c r="I56" s="252"/>
      <c r="J56" s="257" t="str">
        <f>'MY STATS'!AI47</f>
        <v/>
      </c>
      <c r="K56" s="126" t="str">
        <f t="shared" si="51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190" t="s">
        <v>106</v>
      </c>
      <c r="P56" s="95"/>
      <c r="Q56" s="95"/>
      <c r="R56" s="95"/>
      <c r="S56" s="95"/>
      <c r="T56" s="95"/>
      <c r="U56" s="95"/>
      <c r="V56" s="95"/>
      <c r="W56" s="171"/>
      <c r="X56" s="171"/>
      <c r="Y56" s="171"/>
      <c r="Z56" s="186"/>
      <c r="AA56" s="173"/>
      <c r="AB56" s="79"/>
      <c r="AC56" s="76"/>
      <c r="AD56" s="76"/>
      <c r="AE56" s="76"/>
      <c r="AF56" s="76"/>
      <c r="AG56" s="76"/>
    </row>
    <row r="57" spans="1:33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190" t="s">
        <v>97</v>
      </c>
      <c r="P57" s="172">
        <f t="shared" ref="P57:V57" si="54">SUMIF($E$5:$E$51,P52,$S$5:$S$51)</f>
        <v>0</v>
      </c>
      <c r="Q57" s="172">
        <f t="shared" si="54"/>
        <v>0</v>
      </c>
      <c r="R57" s="172">
        <f t="shared" si="54"/>
        <v>0</v>
      </c>
      <c r="S57" s="172">
        <f t="shared" si="54"/>
        <v>0</v>
      </c>
      <c r="T57" s="172">
        <f t="shared" si="54"/>
        <v>0</v>
      </c>
      <c r="U57" s="172">
        <f t="shared" si="54"/>
        <v>0</v>
      </c>
      <c r="V57" s="172">
        <f t="shared" si="54"/>
        <v>0</v>
      </c>
      <c r="W57" s="79"/>
      <c r="X57" s="79"/>
      <c r="Y57" s="79"/>
      <c r="Z57" s="95"/>
      <c r="AA57" s="79"/>
      <c r="AB57" s="79"/>
      <c r="AC57" s="76"/>
      <c r="AD57" s="76"/>
      <c r="AE57" s="76"/>
      <c r="AF57" s="76"/>
      <c r="AG57" s="76"/>
    </row>
    <row r="58" spans="1:33" ht="18" thickTop="1" thickBot="1">
      <c r="A58" s="63">
        <f>A1</f>
        <v>12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190" t="s">
        <v>98</v>
      </c>
      <c r="P58" s="191">
        <f>IF(COUNTIFS($E$5:$E$51,P52,$L$5:$L$51,"&gt;0")=0,0,(SUMIF($E$5:$E$51,P52,$L$5:$L$51)+IF(SUMIF($E$5:$E$51,P52,$R$5:$R$51)=0,-SUMIF($E$5:$E$51,P52,$L$5:$L$51)))/60)</f>
        <v>0</v>
      </c>
      <c r="Q58" s="191">
        <f t="shared" ref="Q58:V58" si="55">IF(COUNTIFS($E$5:$E$51,Q52,$L$5:$L$51,"&gt;0")=0,0,(SUMIF($E$5:$E$51,Q52,$L$5:$L$51)+IF(SUMIF($E$5:$E$51,Q52,$R$5:$R$51)=0,-SUMIF($E$5:$E$51,Q52,$L$5:$L$51)))/60)</f>
        <v>0</v>
      </c>
      <c r="R58" s="191">
        <f t="shared" si="55"/>
        <v>0</v>
      </c>
      <c r="S58" s="191">
        <f t="shared" si="55"/>
        <v>0</v>
      </c>
      <c r="T58" s="191">
        <f t="shared" si="55"/>
        <v>0</v>
      </c>
      <c r="U58" s="191">
        <f t="shared" si="55"/>
        <v>0</v>
      </c>
      <c r="V58" s="191">
        <f t="shared" si="55"/>
        <v>0</v>
      </c>
      <c r="W58" s="79"/>
      <c r="X58" s="79"/>
      <c r="Y58" s="79"/>
      <c r="Z58" s="95"/>
      <c r="AA58" s="79"/>
      <c r="AB58" s="79"/>
      <c r="AC58" s="76"/>
      <c r="AD58" s="76"/>
      <c r="AE58" s="76"/>
      <c r="AF58" s="76"/>
      <c r="AG58" s="76"/>
    </row>
    <row r="59" spans="1:33" ht="18" thickTop="1" thickBot="1">
      <c r="A59" s="66">
        <f>A1</f>
        <v>12</v>
      </c>
      <c r="B59" s="67"/>
      <c r="C59" s="68"/>
      <c r="D59" s="59"/>
      <c r="E59" s="60" t="s">
        <v>52</v>
      </c>
      <c r="F59" s="61">
        <f>G59*0.000568181818</f>
        <v>254.99953365600075</v>
      </c>
      <c r="G59" s="62">
        <f>H59*1.0936113</f>
        <v>448799.17937817704</v>
      </c>
      <c r="H59" s="107">
        <f>VLOOKUP($A$1,'MY STATS'!B$32:K$43,10)</f>
        <v>410382.71950754075</v>
      </c>
      <c r="I59" s="251"/>
      <c r="J59" s="261" t="s">
        <v>57</v>
      </c>
      <c r="K59" s="262" t="str">
        <f t="shared" si="51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190" t="s">
        <v>88</v>
      </c>
      <c r="P59" s="167">
        <f>IFERROR(IF('MY STATS'!$A16=1,P57/P58,IF('MY STATS'!$A16=2,P57/1760/P58,IF('MY STATS'!$A16=3,P57/1000/P58,0))),0)</f>
        <v>0</v>
      </c>
      <c r="Q59" s="167">
        <f>IFERROR(IF('MY STATS'!$A16=1,Q57/Q58,IF('MY STATS'!$A16=2,Q57/1760/Q58,IF('MY STATS'!$A16=3,Q57/1000/Q58,0))),0)</f>
        <v>0</v>
      </c>
      <c r="R59" s="167">
        <f>IFERROR(IF('MY STATS'!$A16=1,R57/R58,IF('MY STATS'!$A16=2,R57/1760/R58,IF('MY STATS'!$A16=3,R57/1000/R58,0))),0)</f>
        <v>0</v>
      </c>
      <c r="S59" s="167">
        <f>IFERROR(IF('MY STATS'!$A16=1,S57/S58,IF('MY STATS'!$A16=2,S57/1760/S58,IF('MY STATS'!$A16=3,S57/1000/S58,0))),0)</f>
        <v>0</v>
      </c>
      <c r="T59" s="167">
        <f>IFERROR(IF('MY STATS'!$A16=1,T57/T58,IF('MY STATS'!$A16=2,T57/1760/T58,IF('MY STATS'!$A16=3,T57/1000/T58,0))),0)</f>
        <v>0</v>
      </c>
      <c r="U59" s="167">
        <f>IFERROR(IF('MY STATS'!$A16=1,U57/U58,IF('MY STATS'!$A16=2,U57/1760/U58,IF('MY STATS'!$A16=3,U57/1000/U58,0))),0)</f>
        <v>0</v>
      </c>
      <c r="V59" s="167">
        <f>IFERROR(IF('MY STATS'!$A16=1,V57/V58,IF('MY STATS'!$A16=2,V57/1760/V58,IF('MY STATS'!$A16=3,V57/1000/V58,0))),0)</f>
        <v>0</v>
      </c>
      <c r="W59" s="79"/>
      <c r="X59" s="79"/>
      <c r="Y59" s="79"/>
      <c r="Z59" s="95"/>
      <c r="AA59" s="79"/>
      <c r="AB59" s="79"/>
      <c r="AC59" s="76"/>
      <c r="AD59" s="76"/>
      <c r="AE59" s="76"/>
      <c r="AF59" s="76"/>
      <c r="AG59" s="76"/>
    </row>
    <row r="60" spans="1:33" ht="17" thickTop="1"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6"/>
      <c r="AD60" s="76"/>
      <c r="AE60" s="76"/>
      <c r="AF60" s="76"/>
      <c r="AG60" s="76"/>
    </row>
    <row r="61" spans="1:33"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9"/>
      <c r="AG64" s="79"/>
    </row>
    <row r="65" spans="15:33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9"/>
      <c r="AG65" s="79"/>
    </row>
    <row r="66" spans="15:33" customFormat="1">
      <c r="O66" s="79"/>
      <c r="P66" s="79"/>
      <c r="Q66" s="79"/>
      <c r="R66" s="79"/>
      <c r="S66" s="76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</row>
    <row r="67" spans="15:33">
      <c r="O67" s="79"/>
      <c r="P67" s="79"/>
      <c r="Q67" s="79"/>
      <c r="R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79"/>
    </row>
    <row r="68" spans="15:33">
      <c r="O68" s="79"/>
      <c r="P68" s="79"/>
      <c r="Q68" s="79"/>
      <c r="R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79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1344" priority="3051" stopIfTrue="1" operator="notBetween">
      <formula>$B$2</formula>
      <formula>$B$3</formula>
    </cfRule>
  </conditionalFormatting>
  <conditionalFormatting sqref="B14:B20 B23:B29 B49:B51 B40:B47 B53 B31:B38 D3 B5:B11">
    <cfRule type="cellIs" dxfId="1343" priority="3052" operator="greaterThan">
      <formula>$E$3</formula>
    </cfRule>
    <cfRule type="cellIs" dxfId="1342" priority="3053" operator="equal">
      <formula>$E$3</formula>
    </cfRule>
    <cfRule type="cellIs" dxfId="1341" priority="3054" operator="lessThan">
      <formula>$E$3</formula>
    </cfRule>
  </conditionalFormatting>
  <conditionalFormatting sqref="F58:H58 F55:H55">
    <cfRule type="expression" dxfId="1340" priority="3049">
      <formula>$F55&gt;=$F56</formula>
    </cfRule>
  </conditionalFormatting>
  <conditionalFormatting sqref="F5:H9 F14:G15 F23:G23 F38:H38 F41:H47 F33:G37 F19:G20">
    <cfRule type="cellIs" dxfId="1339" priority="3039" stopIfTrue="1" operator="lessThan">
      <formula>0</formula>
    </cfRule>
  </conditionalFormatting>
  <conditionalFormatting sqref="C32:C38 C41:C47 C50:C51 C14:C20 C23:C29 C5:C11">
    <cfRule type="cellIs" dxfId="1338" priority="3044" stopIfTrue="1" operator="notBetween">
      <formula>$B$2</formula>
      <formula>$B$3</formula>
    </cfRule>
  </conditionalFormatting>
  <conditionalFormatting sqref="C41:C47 C50:C51 C32:C38 C14:C20 C23:C29 C5:C11">
    <cfRule type="cellIs" dxfId="1337" priority="3045" operator="greaterThan">
      <formula>$E$3</formula>
    </cfRule>
    <cfRule type="cellIs" dxfId="1336" priority="3046" operator="equal">
      <formula>$E$3</formula>
    </cfRule>
    <cfRule type="cellIs" dxfId="1335" priority="3047" operator="lessThan">
      <formula>$E$3</formula>
    </cfRule>
  </conditionalFormatting>
  <conditionalFormatting sqref="F14:G15 F23:G23 F38:H38 F41:H47 F33:G37 F19:G20">
    <cfRule type="expression" dxfId="1334" priority="3043">
      <formula>$C14&lt;$E$3</formula>
    </cfRule>
  </conditionalFormatting>
  <conditionalFormatting sqref="F5:H9 F14:G15 F23:G23 F38:H38 F41:H47 F33:G37 F19:G20">
    <cfRule type="expression" dxfId="1333" priority="3040">
      <formula>$C5=$E$3</formula>
    </cfRule>
    <cfRule type="expression" dxfId="1332" priority="3041">
      <formula>$C5&lt;$E$3</formula>
    </cfRule>
    <cfRule type="cellIs" dxfId="1331" priority="3042" operator="equal">
      <formula>0</formula>
    </cfRule>
    <cfRule type="expression" dxfId="1330" priority="3048">
      <formula>$C5&gt;$E$3</formula>
    </cfRule>
  </conditionalFormatting>
  <conditionalFormatting sqref="F12:G12">
    <cfRule type="expression" dxfId="1329" priority="3038">
      <formula>$F12&gt;=$F13</formula>
    </cfRule>
  </conditionalFormatting>
  <conditionalFormatting sqref="F21:G21">
    <cfRule type="expression" dxfId="1328" priority="3037">
      <formula>$F21&gt;=$F22</formula>
    </cfRule>
  </conditionalFormatting>
  <conditionalFormatting sqref="F39:H39">
    <cfRule type="expression" dxfId="1327" priority="3036">
      <formula>$F39&gt;=$F40</formula>
    </cfRule>
  </conditionalFormatting>
  <conditionalFormatting sqref="F30:G30">
    <cfRule type="expression" dxfId="1326" priority="3035">
      <formula>$F30&gt;=$F31</formula>
    </cfRule>
  </conditionalFormatting>
  <conditionalFormatting sqref="F48:H48">
    <cfRule type="expression" dxfId="1325" priority="3033" stopIfTrue="1">
      <formula>$H$48=-1E-55</formula>
    </cfRule>
    <cfRule type="expression" dxfId="1324" priority="3034">
      <formula>$F48&gt;=$F49</formula>
    </cfRule>
  </conditionalFormatting>
  <conditionalFormatting sqref="F14:G15 F23:G23 F38:H38 F41:H47 F33:G37 F19:G20">
    <cfRule type="expression" dxfId="1323" priority="3032">
      <formula>$C14&lt;$E$3</formula>
    </cfRule>
  </conditionalFormatting>
  <conditionalFormatting sqref="F14:G15 F5:H9 F23:G23 F38:H38 F41:H47 F33:G37 F19:G20">
    <cfRule type="expression" dxfId="1322" priority="3028">
      <formula>$C5=$E$3</formula>
    </cfRule>
    <cfRule type="expression" dxfId="1321" priority="3029">
      <formula>$C5&lt;$E$3</formula>
    </cfRule>
    <cfRule type="cellIs" dxfId="1320" priority="3030" operator="equal">
      <formula>0</formula>
    </cfRule>
    <cfRule type="expression" dxfId="1319" priority="3031">
      <formula>$C5&gt;$E$3</formula>
    </cfRule>
  </conditionalFormatting>
  <conditionalFormatting sqref="F12:G12">
    <cfRule type="expression" dxfId="1318" priority="3027">
      <formula>$F12&gt;=$F13</formula>
    </cfRule>
  </conditionalFormatting>
  <conditionalFormatting sqref="F21:G21">
    <cfRule type="expression" dxfId="1317" priority="3026">
      <formula>$F21&gt;=$F22</formula>
    </cfRule>
  </conditionalFormatting>
  <conditionalFormatting sqref="F39:H39">
    <cfRule type="expression" dxfId="1316" priority="3025">
      <formula>$F39&gt;=$F40</formula>
    </cfRule>
  </conditionalFormatting>
  <conditionalFormatting sqref="F30:G30">
    <cfRule type="expression" dxfId="1315" priority="3024">
      <formula>$F30&gt;=$F31</formula>
    </cfRule>
  </conditionalFormatting>
  <conditionalFormatting sqref="F48:H48">
    <cfRule type="expression" dxfId="1314" priority="3022" stopIfTrue="1">
      <formula>$E$41=""</formula>
    </cfRule>
    <cfRule type="expression" dxfId="1313" priority="3023">
      <formula>$F48&gt;=$F49</formula>
    </cfRule>
  </conditionalFormatting>
  <conditionalFormatting sqref="F41:H47">
    <cfRule type="expression" dxfId="1312" priority="3021">
      <formula>$E41=""</formula>
    </cfRule>
  </conditionalFormatting>
  <conditionalFormatting sqref="F47:H47">
    <cfRule type="expression" dxfId="1311" priority="3020">
      <formula>$E$46=""</formula>
    </cfRule>
  </conditionalFormatting>
  <conditionalFormatting sqref="F45:H45">
    <cfRule type="expression" dxfId="1310" priority="3019">
      <formula>$E45=""</formula>
    </cfRule>
  </conditionalFormatting>
  <conditionalFormatting sqref="F5:H9">
    <cfRule type="expression" dxfId="1309" priority="3018">
      <formula>$C5&lt;$E$3</formula>
    </cfRule>
  </conditionalFormatting>
  <conditionalFormatting sqref="F5:H9">
    <cfRule type="expression" dxfId="1308" priority="3017">
      <formula>$E5=""</formula>
    </cfRule>
  </conditionalFormatting>
  <conditionalFormatting sqref="F5:H9">
    <cfRule type="expression" dxfId="1307" priority="3013">
      <formula>$C5=$E$3</formula>
    </cfRule>
    <cfRule type="expression" dxfId="1306" priority="3014">
      <formula>$C5&lt;$E$3</formula>
    </cfRule>
    <cfRule type="cellIs" dxfId="1305" priority="3015" operator="equal">
      <formula>0</formula>
    </cfRule>
    <cfRule type="expression" dxfId="1304" priority="3016">
      <formula>$C5&gt;$E$3</formula>
    </cfRule>
  </conditionalFormatting>
  <conditionalFormatting sqref="F5:H9">
    <cfRule type="expression" dxfId="1303" priority="3012">
      <formula>$C5&lt;$E$3</formula>
    </cfRule>
  </conditionalFormatting>
  <conditionalFormatting sqref="F5:H9">
    <cfRule type="expression" dxfId="1302" priority="3011">
      <formula>$E5=""</formula>
    </cfRule>
  </conditionalFormatting>
  <conditionalFormatting sqref="F14:G15 F19:G20">
    <cfRule type="expression" dxfId="1301" priority="3010">
      <formula>$C14&lt;$E$3</formula>
    </cfRule>
  </conditionalFormatting>
  <conditionalFormatting sqref="F14:G15 F19:G20">
    <cfRule type="expression" dxfId="1300" priority="3006">
      <formula>$C14=$E$3</formula>
    </cfRule>
    <cfRule type="expression" dxfId="1299" priority="3007">
      <formula>$C14&lt;$E$3</formula>
    </cfRule>
    <cfRule type="cellIs" dxfId="1298" priority="3008" operator="equal">
      <formula>0</formula>
    </cfRule>
    <cfRule type="expression" dxfId="1297" priority="3009">
      <formula>$C14&gt;$E$3</formula>
    </cfRule>
  </conditionalFormatting>
  <conditionalFormatting sqref="F5:H9">
    <cfRule type="expression" dxfId="1296" priority="3005">
      <formula>$C5&lt;$E$3</formula>
    </cfRule>
  </conditionalFormatting>
  <conditionalFormatting sqref="F5:H9">
    <cfRule type="expression" dxfId="1295" priority="3001">
      <formula>$C5=$E$3</formula>
    </cfRule>
    <cfRule type="expression" dxfId="1294" priority="3002">
      <formula>$C5&lt;$E$3</formula>
    </cfRule>
    <cfRule type="cellIs" dxfId="1293" priority="3003" operator="equal">
      <formula>0</formula>
    </cfRule>
    <cfRule type="expression" dxfId="1292" priority="3004">
      <formula>$C5&gt;$E$3</formula>
    </cfRule>
  </conditionalFormatting>
  <conditionalFormatting sqref="F5:H9">
    <cfRule type="expression" dxfId="1291" priority="3000">
      <formula>$E5=""</formula>
    </cfRule>
  </conditionalFormatting>
  <conditionalFormatting sqref="F5:H9">
    <cfRule type="expression" dxfId="1290" priority="2999">
      <formula>$C5&lt;$E$3</formula>
    </cfRule>
  </conditionalFormatting>
  <conditionalFormatting sqref="F5:H9">
    <cfRule type="expression" dxfId="1289" priority="2998">
      <formula>$E5=""</formula>
    </cfRule>
  </conditionalFormatting>
  <conditionalFormatting sqref="F5:H9">
    <cfRule type="expression" dxfId="1288" priority="2997">
      <formula>$E5=""</formula>
    </cfRule>
  </conditionalFormatting>
  <conditionalFormatting sqref="F5:H9">
    <cfRule type="expression" dxfId="1287" priority="2996">
      <formula>$C5&lt;$E$3</formula>
    </cfRule>
  </conditionalFormatting>
  <conditionalFormatting sqref="F5:H9">
    <cfRule type="expression" dxfId="1286" priority="2995">
      <formula>$E5=""</formula>
    </cfRule>
  </conditionalFormatting>
  <conditionalFormatting sqref="F5:H9">
    <cfRule type="expression" dxfId="1285" priority="2994">
      <formula>$C5&lt;$E$3</formula>
    </cfRule>
  </conditionalFormatting>
  <conditionalFormatting sqref="F5:H9">
    <cfRule type="expression" dxfId="1284" priority="2993">
      <formula>$E5=""</formula>
    </cfRule>
  </conditionalFormatting>
  <conditionalFormatting sqref="F5:H9">
    <cfRule type="expression" dxfId="1283" priority="2992">
      <formula>$C5&lt;$E$3</formula>
    </cfRule>
  </conditionalFormatting>
  <conditionalFormatting sqref="F5:H9">
    <cfRule type="expression" dxfId="1282" priority="2991">
      <formula>$E5=""</formula>
    </cfRule>
  </conditionalFormatting>
  <conditionalFormatting sqref="F14:G15 F19:G20">
    <cfRule type="expression" dxfId="1281" priority="2990">
      <formula>$C14&lt;$E$3</formula>
    </cfRule>
  </conditionalFormatting>
  <conditionalFormatting sqref="F14:G15 F19:G20">
    <cfRule type="expression" dxfId="1280" priority="2986">
      <formula>$C14=$E$3</formula>
    </cfRule>
    <cfRule type="expression" dxfId="1279" priority="2987">
      <formula>$C14&lt;$E$3</formula>
    </cfRule>
    <cfRule type="cellIs" dxfId="1278" priority="2988" operator="equal">
      <formula>0</formula>
    </cfRule>
    <cfRule type="expression" dxfId="1277" priority="2989">
      <formula>$C14&gt;$E$3</formula>
    </cfRule>
  </conditionalFormatting>
  <conditionalFormatting sqref="F14:G15 F19:G20">
    <cfRule type="expression" dxfId="1276" priority="2985">
      <formula>$E14=""</formula>
    </cfRule>
  </conditionalFormatting>
  <conditionalFormatting sqref="F14:G15 F19:G20">
    <cfRule type="expression" dxfId="1275" priority="2984">
      <formula>$C14&lt;$E$3</formula>
    </cfRule>
  </conditionalFormatting>
  <conditionalFormatting sqref="F14:G15 F19:G20">
    <cfRule type="expression" dxfId="1274" priority="2983">
      <formula>$E14=""</formula>
    </cfRule>
  </conditionalFormatting>
  <conditionalFormatting sqref="F14:G15 F19:G20">
    <cfRule type="expression" dxfId="1273" priority="2982">
      <formula>$E14=""</formula>
    </cfRule>
  </conditionalFormatting>
  <conditionalFormatting sqref="F14:G15 F19:G20">
    <cfRule type="expression" dxfId="1272" priority="2981">
      <formula>$C14&lt;$E$3</formula>
    </cfRule>
  </conditionalFormatting>
  <conditionalFormatting sqref="F14:G15 F19:G20">
    <cfRule type="expression" dxfId="1271" priority="2980">
      <formula>$E14=""</formula>
    </cfRule>
  </conditionalFormatting>
  <conditionalFormatting sqref="F14:G15 F19:G20">
    <cfRule type="expression" dxfId="1270" priority="2979">
      <formula>$C14&lt;$E$3</formula>
    </cfRule>
  </conditionalFormatting>
  <conditionalFormatting sqref="F14:G15 F19:G20">
    <cfRule type="expression" dxfId="1269" priority="2978">
      <formula>$E14=""</formula>
    </cfRule>
  </conditionalFormatting>
  <conditionalFormatting sqref="F14:G15 F19:G20">
    <cfRule type="expression" dxfId="1268" priority="2977">
      <formula>$C14&lt;$E$3</formula>
    </cfRule>
  </conditionalFormatting>
  <conditionalFormatting sqref="F14:G15 F19:G20">
    <cfRule type="expression" dxfId="1267" priority="2976">
      <formula>$E14=""</formula>
    </cfRule>
  </conditionalFormatting>
  <conditionalFormatting sqref="F23:G23">
    <cfRule type="expression" dxfId="1266" priority="2975">
      <formula>$C23&lt;$E$3</formula>
    </cfRule>
  </conditionalFormatting>
  <conditionalFormatting sqref="F23:G23">
    <cfRule type="expression" dxfId="1265" priority="2971">
      <formula>$C23=$E$3</formula>
    </cfRule>
    <cfRule type="expression" dxfId="1264" priority="2972">
      <formula>$C23&lt;$E$3</formula>
    </cfRule>
    <cfRule type="cellIs" dxfId="1263" priority="2973" operator="equal">
      <formula>0</formula>
    </cfRule>
    <cfRule type="expression" dxfId="1262" priority="2974">
      <formula>$C23&gt;$E$3</formula>
    </cfRule>
  </conditionalFormatting>
  <conditionalFormatting sqref="F23:G23">
    <cfRule type="expression" dxfId="1261" priority="2970">
      <formula>$C23&lt;$E$3</formula>
    </cfRule>
  </conditionalFormatting>
  <conditionalFormatting sqref="F23:G23">
    <cfRule type="expression" dxfId="1260" priority="2966">
      <formula>$C23=$E$3</formula>
    </cfRule>
    <cfRule type="expression" dxfId="1259" priority="2967">
      <formula>$C23&lt;$E$3</formula>
    </cfRule>
    <cfRule type="cellIs" dxfId="1258" priority="2968" operator="equal">
      <formula>0</formula>
    </cfRule>
    <cfRule type="expression" dxfId="1257" priority="2969">
      <formula>$C23&gt;$E$3</formula>
    </cfRule>
  </conditionalFormatting>
  <conditionalFormatting sqref="F23:G23">
    <cfRule type="expression" dxfId="1256" priority="2965">
      <formula>$E23=""</formula>
    </cfRule>
  </conditionalFormatting>
  <conditionalFormatting sqref="F23:G23">
    <cfRule type="expression" dxfId="1255" priority="2964">
      <formula>$C23&lt;$E$3</formula>
    </cfRule>
  </conditionalFormatting>
  <conditionalFormatting sqref="F23:G23">
    <cfRule type="expression" dxfId="1254" priority="2963">
      <formula>$E23=""</formula>
    </cfRule>
  </conditionalFormatting>
  <conditionalFormatting sqref="F23:G23">
    <cfRule type="expression" dxfId="1253" priority="2962">
      <formula>$E23=""</formula>
    </cfRule>
  </conditionalFormatting>
  <conditionalFormatting sqref="F23:G23">
    <cfRule type="expression" dxfId="1252" priority="2961">
      <formula>$C23&lt;$E$3</formula>
    </cfRule>
  </conditionalFormatting>
  <conditionalFormatting sqref="F23:G23">
    <cfRule type="expression" dxfId="1251" priority="2960">
      <formula>$E23=""</formula>
    </cfRule>
  </conditionalFormatting>
  <conditionalFormatting sqref="F23:G23">
    <cfRule type="expression" dxfId="1250" priority="2959">
      <formula>$C23&lt;$E$3</formula>
    </cfRule>
  </conditionalFormatting>
  <conditionalFormatting sqref="F23:G23">
    <cfRule type="expression" dxfId="1249" priority="2958">
      <formula>$E23=""</formula>
    </cfRule>
  </conditionalFormatting>
  <conditionalFormatting sqref="F23:G23">
    <cfRule type="expression" dxfId="1248" priority="2957">
      <formula>$C23&lt;$E$3</formula>
    </cfRule>
  </conditionalFormatting>
  <conditionalFormatting sqref="F23:G23">
    <cfRule type="expression" dxfId="1247" priority="2956">
      <formula>$E23=""</formula>
    </cfRule>
  </conditionalFormatting>
  <conditionalFormatting sqref="F38:H38 F33:G37">
    <cfRule type="expression" dxfId="1246" priority="2955">
      <formula>$C33&lt;$E$3</formula>
    </cfRule>
  </conditionalFormatting>
  <conditionalFormatting sqref="F38:H38 F33:G37">
    <cfRule type="expression" dxfId="1245" priority="2951">
      <formula>$C33=$E$3</formula>
    </cfRule>
    <cfRule type="expression" dxfId="1244" priority="2952">
      <formula>$C33&lt;$E$3</formula>
    </cfRule>
    <cfRule type="cellIs" dxfId="1243" priority="2953" operator="equal">
      <formula>0</formula>
    </cfRule>
    <cfRule type="expression" dxfId="1242" priority="2954">
      <formula>$C33&gt;$E$3</formula>
    </cfRule>
  </conditionalFormatting>
  <conditionalFormatting sqref="F38:H38 F33:G37">
    <cfRule type="expression" dxfId="1241" priority="2950">
      <formula>$C33&lt;$E$3</formula>
    </cfRule>
  </conditionalFormatting>
  <conditionalFormatting sqref="F38:H38 F33:G37">
    <cfRule type="expression" dxfId="1240" priority="2946">
      <formula>$C33=$E$3</formula>
    </cfRule>
    <cfRule type="expression" dxfId="1239" priority="2947">
      <formula>$C33&lt;$E$3</formula>
    </cfRule>
    <cfRule type="cellIs" dxfId="1238" priority="2948" operator="equal">
      <formula>0</formula>
    </cfRule>
    <cfRule type="expression" dxfId="1237" priority="2949">
      <formula>$C33&gt;$E$3</formula>
    </cfRule>
  </conditionalFormatting>
  <conditionalFormatting sqref="F38:H38 F33:G37">
    <cfRule type="expression" dxfId="1236" priority="2945">
      <formula>$E33=""</formula>
    </cfRule>
  </conditionalFormatting>
  <conditionalFormatting sqref="F38:H38 F33:G37">
    <cfRule type="expression" dxfId="1235" priority="2944">
      <formula>$C33&lt;$E$3</formula>
    </cfRule>
  </conditionalFormatting>
  <conditionalFormatting sqref="F38:H38 F33:G37">
    <cfRule type="expression" dxfId="1234" priority="2943">
      <formula>$E33=""</formula>
    </cfRule>
  </conditionalFormatting>
  <conditionalFormatting sqref="F38:H38 F33:G37">
    <cfRule type="expression" dxfId="1233" priority="2942">
      <formula>$E33=""</formula>
    </cfRule>
  </conditionalFormatting>
  <conditionalFormatting sqref="F38:H38 F33:G37">
    <cfRule type="expression" dxfId="1232" priority="2941">
      <formula>$C33&lt;$E$3</formula>
    </cfRule>
  </conditionalFormatting>
  <conditionalFormatting sqref="F38:H38 F33:G37">
    <cfRule type="expression" dxfId="1231" priority="2940">
      <formula>$E33=""</formula>
    </cfRule>
  </conditionalFormatting>
  <conditionalFormatting sqref="F38:H38 F33:G37">
    <cfRule type="expression" dxfId="1230" priority="2939">
      <formula>$C33&lt;$E$3</formula>
    </cfRule>
  </conditionalFormatting>
  <conditionalFormatting sqref="F38:H38 F33:G37">
    <cfRule type="expression" dxfId="1229" priority="2938">
      <formula>$E33=""</formula>
    </cfRule>
  </conditionalFormatting>
  <conditionalFormatting sqref="F38:H38 F33:G37">
    <cfRule type="expression" dxfId="1228" priority="2937">
      <formula>$C33&lt;$E$3</formula>
    </cfRule>
  </conditionalFormatting>
  <conditionalFormatting sqref="F38:H38 F33:G37">
    <cfRule type="expression" dxfId="1227" priority="2936">
      <formula>$E33=""</formula>
    </cfRule>
  </conditionalFormatting>
  <conditionalFormatting sqref="F41:H47">
    <cfRule type="expression" dxfId="1226" priority="2935">
      <formula>$C41&lt;$E$3</formula>
    </cfRule>
  </conditionalFormatting>
  <conditionalFormatting sqref="F41:H47">
    <cfRule type="expression" dxfId="1225" priority="2931">
      <formula>$C41=$E$3</formula>
    </cfRule>
    <cfRule type="expression" dxfId="1224" priority="2932">
      <formula>$C41&lt;$E$3</formula>
    </cfRule>
    <cfRule type="cellIs" dxfId="1223" priority="2933" operator="equal">
      <formula>0</formula>
    </cfRule>
    <cfRule type="expression" dxfId="1222" priority="2934">
      <formula>$C41&gt;$E$3</formula>
    </cfRule>
  </conditionalFormatting>
  <conditionalFormatting sqref="F41:H47">
    <cfRule type="expression" dxfId="1221" priority="2930">
      <formula>$C41&lt;$E$3</formula>
    </cfRule>
  </conditionalFormatting>
  <conditionalFormatting sqref="F41:H47">
    <cfRule type="expression" dxfId="1220" priority="2926">
      <formula>$C41=$E$3</formula>
    </cfRule>
    <cfRule type="expression" dxfId="1219" priority="2927">
      <formula>$C41&lt;$E$3</formula>
    </cfRule>
    <cfRule type="cellIs" dxfId="1218" priority="2928" operator="equal">
      <formula>0</formula>
    </cfRule>
    <cfRule type="expression" dxfId="1217" priority="2929">
      <formula>$C41&gt;$E$3</formula>
    </cfRule>
  </conditionalFormatting>
  <conditionalFormatting sqref="F41:H47">
    <cfRule type="expression" dxfId="1216" priority="2925">
      <formula>$E41=""</formula>
    </cfRule>
  </conditionalFormatting>
  <conditionalFormatting sqref="F41:H47">
    <cfRule type="expression" dxfId="1215" priority="2924">
      <formula>$C41&lt;$E$3</formula>
    </cfRule>
  </conditionalFormatting>
  <conditionalFormatting sqref="F41:H47">
    <cfRule type="expression" dxfId="1214" priority="2923">
      <formula>$E41=""</formula>
    </cfRule>
  </conditionalFormatting>
  <conditionalFormatting sqref="F41:H47">
    <cfRule type="expression" dxfId="1213" priority="2922">
      <formula>$E41=""</formula>
    </cfRule>
  </conditionalFormatting>
  <conditionalFormatting sqref="F41:H47">
    <cfRule type="expression" dxfId="1212" priority="2921">
      <formula>$C41&lt;$E$3</formula>
    </cfRule>
  </conditionalFormatting>
  <conditionalFormatting sqref="F41:H47">
    <cfRule type="expression" dxfId="1211" priority="2920">
      <formula>$E41=""</formula>
    </cfRule>
  </conditionalFormatting>
  <conditionalFormatting sqref="F41:H47">
    <cfRule type="expression" dxfId="1210" priority="2919">
      <formula>$C41&lt;$E$3</formula>
    </cfRule>
  </conditionalFormatting>
  <conditionalFormatting sqref="F41:H47">
    <cfRule type="expression" dxfId="1209" priority="2918">
      <formula>$E41=""</formula>
    </cfRule>
  </conditionalFormatting>
  <conditionalFormatting sqref="F41:H47">
    <cfRule type="expression" dxfId="1208" priority="2917">
      <formula>$C41&lt;$E$3</formula>
    </cfRule>
  </conditionalFormatting>
  <conditionalFormatting sqref="F41:H47">
    <cfRule type="expression" dxfId="1207" priority="2916">
      <formula>$E41=""</formula>
    </cfRule>
  </conditionalFormatting>
  <conditionalFormatting sqref="F50:H51">
    <cfRule type="cellIs" dxfId="1206" priority="2915" stopIfTrue="1" operator="lessThan">
      <formula>0</formula>
    </cfRule>
  </conditionalFormatting>
  <conditionalFormatting sqref="F50:H51">
    <cfRule type="expression" dxfId="1205" priority="2914">
      <formula>$C50&lt;$E$3</formula>
    </cfRule>
  </conditionalFormatting>
  <conditionalFormatting sqref="F50:H51">
    <cfRule type="expression" dxfId="1204" priority="2910">
      <formula>$C50=$E$3</formula>
    </cfRule>
    <cfRule type="expression" dxfId="1203" priority="2911">
      <formula>$C50&lt;$E$3</formula>
    </cfRule>
    <cfRule type="cellIs" dxfId="1202" priority="2912" operator="equal">
      <formula>0</formula>
    </cfRule>
    <cfRule type="expression" dxfId="1201" priority="2913">
      <formula>$C50&gt;$E$3</formula>
    </cfRule>
  </conditionalFormatting>
  <conditionalFormatting sqref="F50:H51">
    <cfRule type="expression" dxfId="1200" priority="2909">
      <formula>$C50&lt;$E$3</formula>
    </cfRule>
  </conditionalFormatting>
  <conditionalFormatting sqref="F50:H51">
    <cfRule type="expression" dxfId="1199" priority="2905">
      <formula>$C50=$E$3</formula>
    </cfRule>
    <cfRule type="expression" dxfId="1198" priority="2906">
      <formula>$C50&lt;$E$3</formula>
    </cfRule>
    <cfRule type="cellIs" dxfId="1197" priority="2907" operator="equal">
      <formula>0</formula>
    </cfRule>
    <cfRule type="expression" dxfId="1196" priority="2908">
      <formula>$C50&gt;$E$3</formula>
    </cfRule>
  </conditionalFormatting>
  <conditionalFormatting sqref="F50:H51">
    <cfRule type="expression" dxfId="1195" priority="2904">
      <formula>$C50&lt;$E$3</formula>
    </cfRule>
  </conditionalFormatting>
  <conditionalFormatting sqref="F50:H51">
    <cfRule type="expression" dxfId="1194" priority="2900">
      <formula>$C50=$E$3</formula>
    </cfRule>
    <cfRule type="expression" dxfId="1193" priority="2901">
      <formula>$C50&lt;$E$3</formula>
    </cfRule>
    <cfRule type="cellIs" dxfId="1192" priority="2902" operator="equal">
      <formula>0</formula>
    </cfRule>
    <cfRule type="expression" dxfId="1191" priority="2903">
      <formula>$C50&gt;$E$3</formula>
    </cfRule>
  </conditionalFormatting>
  <conditionalFormatting sqref="F50:H51">
    <cfRule type="expression" dxfId="1190" priority="2899">
      <formula>$C50&lt;$E$3</formula>
    </cfRule>
  </conditionalFormatting>
  <conditionalFormatting sqref="F50:H51">
    <cfRule type="expression" dxfId="1189" priority="2895">
      <formula>$C50=$E$3</formula>
    </cfRule>
    <cfRule type="expression" dxfId="1188" priority="2896">
      <formula>$C50&lt;$E$3</formula>
    </cfRule>
    <cfRule type="cellIs" dxfId="1187" priority="2897" operator="equal">
      <formula>0</formula>
    </cfRule>
    <cfRule type="expression" dxfId="1186" priority="2898">
      <formula>$C50&gt;$E$3</formula>
    </cfRule>
  </conditionalFormatting>
  <conditionalFormatting sqref="F50:H51">
    <cfRule type="expression" dxfId="1185" priority="2894">
      <formula>$E50=""</formula>
    </cfRule>
  </conditionalFormatting>
  <conditionalFormatting sqref="F50:H51">
    <cfRule type="expression" dxfId="1184" priority="2893">
      <formula>$C50&lt;$E$3</formula>
    </cfRule>
  </conditionalFormatting>
  <conditionalFormatting sqref="F50:H51">
    <cfRule type="expression" dxfId="1183" priority="2892">
      <formula>$E50=""</formula>
    </cfRule>
  </conditionalFormatting>
  <conditionalFormatting sqref="F50:H51">
    <cfRule type="expression" dxfId="1182" priority="2891">
      <formula>$E50=""</formula>
    </cfRule>
  </conditionalFormatting>
  <conditionalFormatting sqref="F50:H51">
    <cfRule type="expression" dxfId="1181" priority="2890">
      <formula>$C50&lt;$E$3</formula>
    </cfRule>
  </conditionalFormatting>
  <conditionalFormatting sqref="F50:H51">
    <cfRule type="expression" dxfId="1180" priority="2889">
      <formula>$E50=""</formula>
    </cfRule>
  </conditionalFormatting>
  <conditionalFormatting sqref="F50:H51">
    <cfRule type="expression" dxfId="1179" priority="2888">
      <formula>$C50&lt;$E$3</formula>
    </cfRule>
  </conditionalFormatting>
  <conditionalFormatting sqref="F50:H51">
    <cfRule type="expression" dxfId="1178" priority="2887">
      <formula>$E50=""</formula>
    </cfRule>
  </conditionalFormatting>
  <conditionalFormatting sqref="F50:H51">
    <cfRule type="expression" dxfId="1177" priority="2886">
      <formula>$C50&lt;$E$3</formula>
    </cfRule>
  </conditionalFormatting>
  <conditionalFormatting sqref="F50:H51">
    <cfRule type="expression" dxfId="1176" priority="2885">
      <formula>$E50=""</formula>
    </cfRule>
  </conditionalFormatting>
  <conditionalFormatting sqref="E14:E20 E5:E11 E41:E47 E32:E38 E23:E29 E50:E51">
    <cfRule type="containsText" dxfId="1175" priority="2878" operator="containsText" text="Sa">
      <formula>NOT(ISERROR(SEARCH("Sa",E5)))</formula>
    </cfRule>
    <cfRule type="containsText" dxfId="1174" priority="2880" operator="containsText" text="Fr">
      <formula>NOT(ISERROR(SEARCH("Fr",E5)))</formula>
    </cfRule>
    <cfRule type="containsText" dxfId="1173" priority="2881" operator="containsText" text="Th">
      <formula>NOT(ISERROR(SEARCH("Th",E5)))</formula>
    </cfRule>
  </conditionalFormatting>
  <conditionalFormatting sqref="E14:E20 E5:E11 E41:E47 E32:E38 E23:E29 E50:E51">
    <cfRule type="containsText" dxfId="1172" priority="2882" operator="containsText" text="Wed">
      <formula>NOT(ISERROR(SEARCH("Wed",E5)))</formula>
    </cfRule>
    <cfRule type="containsText" dxfId="1171" priority="2883" operator="containsText" text="Tu">
      <formula>NOT(ISERROR(SEARCH("Tu",E5)))</formula>
    </cfRule>
    <cfRule type="beginsWith" dxfId="1170" priority="2884" operator="beginsWith" text="M">
      <formula>LEFT(E5,1)="M"</formula>
    </cfRule>
  </conditionalFormatting>
  <conditionalFormatting sqref="E14:E20 E5:E11 E41:E47 E32:E38 E23:E29 E50:E51">
    <cfRule type="containsText" dxfId="1169" priority="2879" operator="containsText" text="Su">
      <formula>NOT(ISERROR(SEARCH("Su",E5)))</formula>
    </cfRule>
  </conditionalFormatting>
  <conditionalFormatting sqref="C4">
    <cfRule type="cellIs" dxfId="1168" priority="2874" stopIfTrue="1" operator="notBetween">
      <formula>$B$2</formula>
      <formula>$B$3</formula>
    </cfRule>
  </conditionalFormatting>
  <conditionalFormatting sqref="C4">
    <cfRule type="cellIs" dxfId="1167" priority="2875" operator="greaterThan">
      <formula>$E$3</formula>
    </cfRule>
    <cfRule type="cellIs" dxfId="1166" priority="2876" operator="equal">
      <formula>$E$3</formula>
    </cfRule>
    <cfRule type="cellIs" dxfId="1165" priority="2877" operator="lessThan">
      <formula>$E$3</formula>
    </cfRule>
  </conditionalFormatting>
  <conditionalFormatting sqref="H23 H14:H15 H19:H20">
    <cfRule type="cellIs" dxfId="1164" priority="2684" stopIfTrue="1" operator="lessThan">
      <formula>0</formula>
    </cfRule>
  </conditionalFormatting>
  <conditionalFormatting sqref="H12">
    <cfRule type="expression" dxfId="1163" priority="2683">
      <formula>$F12&gt;=$F13</formula>
    </cfRule>
  </conditionalFormatting>
  <conditionalFormatting sqref="H21">
    <cfRule type="expression" dxfId="1162" priority="2682">
      <formula>$F21&gt;=$F22</formula>
    </cfRule>
  </conditionalFormatting>
  <conditionalFormatting sqref="H30">
    <cfRule type="expression" dxfId="1161" priority="2681">
      <formula>$F30&gt;=$F31</formula>
    </cfRule>
  </conditionalFormatting>
  <conditionalFormatting sqref="H12">
    <cfRule type="expression" dxfId="1160" priority="2680">
      <formula>$F12&gt;=$F13</formula>
    </cfRule>
  </conditionalFormatting>
  <conditionalFormatting sqref="H21">
    <cfRule type="expression" dxfId="1159" priority="2679">
      <formula>$F21&gt;=$F22</formula>
    </cfRule>
  </conditionalFormatting>
  <conditionalFormatting sqref="H30">
    <cfRule type="expression" dxfId="1158" priority="2678">
      <formula>$F30&gt;=$F31</formula>
    </cfRule>
  </conditionalFormatting>
  <conditionalFormatting sqref="H14:H15 H19:H20">
    <cfRule type="expression" dxfId="1157" priority="2646">
      <formula>$C14&lt;$E$3</formula>
    </cfRule>
  </conditionalFormatting>
  <conditionalFormatting sqref="H14:H15 H19:H20">
    <cfRule type="expression" dxfId="1156" priority="2643">
      <formula>$C14=$E$3</formula>
    </cfRule>
    <cfRule type="expression" dxfId="1155" priority="2644">
      <formula>$C14&lt;$E$3</formula>
    </cfRule>
    <cfRule type="cellIs" dxfId="1154" priority="2645" operator="equal">
      <formula>0</formula>
    </cfRule>
    <cfRule type="expression" dxfId="1153" priority="2647">
      <formula>$C14&gt;$E$3</formula>
    </cfRule>
  </conditionalFormatting>
  <conditionalFormatting sqref="H14:H15 H19:H20">
    <cfRule type="expression" dxfId="1152" priority="2642">
      <formula>$C14&lt;$E$3</formula>
    </cfRule>
  </conditionalFormatting>
  <conditionalFormatting sqref="H14:H15 H19:H20">
    <cfRule type="expression" dxfId="1151" priority="2638">
      <formula>$C14=$E$3</formula>
    </cfRule>
    <cfRule type="expression" dxfId="1150" priority="2639">
      <formula>$C14&lt;$E$3</formula>
    </cfRule>
    <cfRule type="cellIs" dxfId="1149" priority="2640" operator="equal">
      <formula>0</formula>
    </cfRule>
    <cfRule type="expression" dxfId="1148" priority="2641">
      <formula>$C14&gt;$E$3</formula>
    </cfRule>
  </conditionalFormatting>
  <conditionalFormatting sqref="H14:H15 H19:H20">
    <cfRule type="expression" dxfId="1147" priority="2637">
      <formula>$C14&lt;$E$3</formula>
    </cfRule>
  </conditionalFormatting>
  <conditionalFormatting sqref="H14:H15 H19:H20">
    <cfRule type="expression" dxfId="1146" priority="2633">
      <formula>$C14=$E$3</formula>
    </cfRule>
    <cfRule type="expression" dxfId="1145" priority="2634">
      <formula>$C14&lt;$E$3</formula>
    </cfRule>
    <cfRule type="cellIs" dxfId="1144" priority="2635" operator="equal">
      <formula>0</formula>
    </cfRule>
    <cfRule type="expression" dxfId="1143" priority="2636">
      <formula>$C14&gt;$E$3</formula>
    </cfRule>
  </conditionalFormatting>
  <conditionalFormatting sqref="H14:H15 H19:H20">
    <cfRule type="expression" dxfId="1142" priority="2632">
      <formula>$C14&lt;$E$3</formula>
    </cfRule>
  </conditionalFormatting>
  <conditionalFormatting sqref="H14:H15 H19:H20">
    <cfRule type="expression" dxfId="1141" priority="2628">
      <formula>$C14=$E$3</formula>
    </cfRule>
    <cfRule type="expression" dxfId="1140" priority="2629">
      <formula>$C14&lt;$E$3</formula>
    </cfRule>
    <cfRule type="cellIs" dxfId="1139" priority="2630" operator="equal">
      <formula>0</formula>
    </cfRule>
    <cfRule type="expression" dxfId="1138" priority="2631">
      <formula>$C14&gt;$E$3</formula>
    </cfRule>
  </conditionalFormatting>
  <conditionalFormatting sqref="H14:H15 H19:H20">
    <cfRule type="expression" dxfId="1137" priority="2627">
      <formula>$E14=""</formula>
    </cfRule>
  </conditionalFormatting>
  <conditionalFormatting sqref="H14:H15 H19:H20">
    <cfRule type="expression" dxfId="1136" priority="2626">
      <formula>$C14&lt;$E$3</formula>
    </cfRule>
  </conditionalFormatting>
  <conditionalFormatting sqref="H14:H15 H19:H20">
    <cfRule type="expression" dxfId="1135" priority="2625">
      <formula>$E14=""</formula>
    </cfRule>
  </conditionalFormatting>
  <conditionalFormatting sqref="H14:H15 H19:H20">
    <cfRule type="expression" dxfId="1134" priority="2624">
      <formula>$E14=""</formula>
    </cfRule>
  </conditionalFormatting>
  <conditionalFormatting sqref="H14:H15 H19:H20">
    <cfRule type="expression" dxfId="1133" priority="2623">
      <formula>$C14&lt;$E$3</formula>
    </cfRule>
  </conditionalFormatting>
  <conditionalFormatting sqref="H14:H15 H19:H20">
    <cfRule type="expression" dxfId="1132" priority="2622">
      <formula>$E14=""</formula>
    </cfRule>
  </conditionalFormatting>
  <conditionalFormatting sqref="H14:H15 H19:H20">
    <cfRule type="expression" dxfId="1131" priority="2621">
      <formula>$C14&lt;$E$3</formula>
    </cfRule>
  </conditionalFormatting>
  <conditionalFormatting sqref="H14:H15 H19:H20">
    <cfRule type="expression" dxfId="1130" priority="2620">
      <formula>$E14=""</formula>
    </cfRule>
  </conditionalFormatting>
  <conditionalFormatting sqref="H14:H15 H19:H20">
    <cfRule type="expression" dxfId="1129" priority="2619">
      <formula>$C14&lt;$E$3</formula>
    </cfRule>
  </conditionalFormatting>
  <conditionalFormatting sqref="H14:H15 H19:H20">
    <cfRule type="expression" dxfId="1128" priority="2618">
      <formula>$E14=""</formula>
    </cfRule>
  </conditionalFormatting>
  <conditionalFormatting sqref="H23">
    <cfRule type="expression" dxfId="1127" priority="2616">
      <formula>$C23&lt;$E$3</formula>
    </cfRule>
  </conditionalFormatting>
  <conditionalFormatting sqref="H23">
    <cfRule type="expression" dxfId="1126" priority="2613">
      <formula>$C23=$E$3</formula>
    </cfRule>
    <cfRule type="expression" dxfId="1125" priority="2614">
      <formula>$C23&lt;$E$3</formula>
    </cfRule>
    <cfRule type="cellIs" dxfId="1124" priority="2615" operator="equal">
      <formula>0</formula>
    </cfRule>
    <cfRule type="expression" dxfId="1123" priority="2617">
      <formula>$C23&gt;$E$3</formula>
    </cfRule>
  </conditionalFormatting>
  <conditionalFormatting sqref="H23">
    <cfRule type="expression" dxfId="1122" priority="2612">
      <formula>$C23&lt;$E$3</formula>
    </cfRule>
  </conditionalFormatting>
  <conditionalFormatting sqref="H23">
    <cfRule type="expression" dxfId="1121" priority="2608">
      <formula>$C23=$E$3</formula>
    </cfRule>
    <cfRule type="expression" dxfId="1120" priority="2609">
      <formula>$C23&lt;$E$3</formula>
    </cfRule>
    <cfRule type="cellIs" dxfId="1119" priority="2610" operator="equal">
      <formula>0</formula>
    </cfRule>
    <cfRule type="expression" dxfId="1118" priority="2611">
      <formula>$C23&gt;$E$3</formula>
    </cfRule>
  </conditionalFormatting>
  <conditionalFormatting sqref="H23">
    <cfRule type="expression" dxfId="1117" priority="2607">
      <formula>$C23&lt;$E$3</formula>
    </cfRule>
  </conditionalFormatting>
  <conditionalFormatting sqref="H23">
    <cfRule type="expression" dxfId="1116" priority="2603">
      <formula>$C23=$E$3</formula>
    </cfRule>
    <cfRule type="expression" dxfId="1115" priority="2604">
      <formula>$C23&lt;$E$3</formula>
    </cfRule>
    <cfRule type="cellIs" dxfId="1114" priority="2605" operator="equal">
      <formula>0</formula>
    </cfRule>
    <cfRule type="expression" dxfId="1113" priority="2606">
      <formula>$C23&gt;$E$3</formula>
    </cfRule>
  </conditionalFormatting>
  <conditionalFormatting sqref="H23">
    <cfRule type="expression" dxfId="1112" priority="2602">
      <formula>$C23&lt;$E$3</formula>
    </cfRule>
  </conditionalFormatting>
  <conditionalFormatting sqref="H23">
    <cfRule type="expression" dxfId="1111" priority="2598">
      <formula>$C23=$E$3</formula>
    </cfRule>
    <cfRule type="expression" dxfId="1110" priority="2599">
      <formula>$C23&lt;$E$3</formula>
    </cfRule>
    <cfRule type="cellIs" dxfId="1109" priority="2600" operator="equal">
      <formula>0</formula>
    </cfRule>
    <cfRule type="expression" dxfId="1108" priority="2601">
      <formula>$C23&gt;$E$3</formula>
    </cfRule>
  </conditionalFormatting>
  <conditionalFormatting sqref="H23">
    <cfRule type="expression" dxfId="1107" priority="2597">
      <formula>$E23=""</formula>
    </cfRule>
  </conditionalFormatting>
  <conditionalFormatting sqref="H23">
    <cfRule type="expression" dxfId="1106" priority="2596">
      <formula>$C23&lt;$E$3</formula>
    </cfRule>
  </conditionalFormatting>
  <conditionalFormatting sqref="H23">
    <cfRule type="expression" dxfId="1105" priority="2595">
      <formula>$E23=""</formula>
    </cfRule>
  </conditionalFormatting>
  <conditionalFormatting sqref="H23">
    <cfRule type="expression" dxfId="1104" priority="2594">
      <formula>$E23=""</formula>
    </cfRule>
  </conditionalFormatting>
  <conditionalFormatting sqref="H23">
    <cfRule type="expression" dxfId="1103" priority="2593">
      <formula>$C23&lt;$E$3</formula>
    </cfRule>
  </conditionalFormatting>
  <conditionalFormatting sqref="H23">
    <cfRule type="expression" dxfId="1102" priority="2592">
      <formula>$E23=""</formula>
    </cfRule>
  </conditionalFormatting>
  <conditionalFormatting sqref="H23">
    <cfRule type="expression" dxfId="1101" priority="2591">
      <formula>$C23&lt;$E$3</formula>
    </cfRule>
  </conditionalFormatting>
  <conditionalFormatting sqref="H23">
    <cfRule type="expression" dxfId="1100" priority="2590">
      <formula>$E23=""</formula>
    </cfRule>
  </conditionalFormatting>
  <conditionalFormatting sqref="H23">
    <cfRule type="expression" dxfId="1099" priority="2589">
      <formula>$C23&lt;$E$3</formula>
    </cfRule>
  </conditionalFormatting>
  <conditionalFormatting sqref="H23">
    <cfRule type="expression" dxfId="1098" priority="2588">
      <formula>$E23=""</formula>
    </cfRule>
  </conditionalFormatting>
  <conditionalFormatting sqref="F52:H52">
    <cfRule type="expression" dxfId="1097" priority="3055" stopIfTrue="1">
      <formula>$H$52=-1E-55</formula>
    </cfRule>
    <cfRule type="expression" dxfId="1096" priority="3056">
      <formula>$F52&gt;=$F53</formula>
    </cfRule>
  </conditionalFormatting>
  <conditionalFormatting sqref="H33:H37">
    <cfRule type="cellIs" dxfId="1095" priority="2471" stopIfTrue="1" operator="lessThan">
      <formula>0</formula>
    </cfRule>
  </conditionalFormatting>
  <conditionalFormatting sqref="H33:H37">
    <cfRule type="expression" dxfId="1094" priority="2475">
      <formula>$C33&lt;$E$3</formula>
    </cfRule>
  </conditionalFormatting>
  <conditionalFormatting sqref="H33:H37">
    <cfRule type="expression" dxfId="1093" priority="2472">
      <formula>$C33=$E$3</formula>
    </cfRule>
    <cfRule type="expression" dxfId="1092" priority="2473">
      <formula>$C33&lt;$E$3</formula>
    </cfRule>
    <cfRule type="cellIs" dxfId="1091" priority="2474" operator="equal">
      <formula>0</formula>
    </cfRule>
    <cfRule type="expression" dxfId="1090" priority="2476">
      <formula>$C33&gt;$E$3</formula>
    </cfRule>
  </conditionalFormatting>
  <conditionalFormatting sqref="H33:H37">
    <cfRule type="expression" dxfId="1089" priority="2470">
      <formula>$C33&lt;$E$3</formula>
    </cfRule>
  </conditionalFormatting>
  <conditionalFormatting sqref="H33:H37">
    <cfRule type="expression" dxfId="1088" priority="2466">
      <formula>$C33=$E$3</formula>
    </cfRule>
    <cfRule type="expression" dxfId="1087" priority="2467">
      <formula>$C33&lt;$E$3</formula>
    </cfRule>
    <cfRule type="cellIs" dxfId="1086" priority="2468" operator="equal">
      <formula>0</formula>
    </cfRule>
    <cfRule type="expression" dxfId="1085" priority="2469">
      <formula>$C33&gt;$E$3</formula>
    </cfRule>
  </conditionalFormatting>
  <conditionalFormatting sqref="H33:H37">
    <cfRule type="expression" dxfId="1084" priority="2465">
      <formula>$E33=""</formula>
    </cfRule>
  </conditionalFormatting>
  <conditionalFormatting sqref="H36">
    <cfRule type="expression" dxfId="1083" priority="2464">
      <formula>$E36=""</formula>
    </cfRule>
  </conditionalFormatting>
  <conditionalFormatting sqref="H33:H37">
    <cfRule type="expression" dxfId="1082" priority="2463">
      <formula>$C33&lt;$E$3</formula>
    </cfRule>
  </conditionalFormatting>
  <conditionalFormatting sqref="H33:H37">
    <cfRule type="expression" dxfId="1081" priority="2459">
      <formula>$C33=$E$3</formula>
    </cfRule>
    <cfRule type="expression" dxfId="1080" priority="2460">
      <formula>$C33&lt;$E$3</formula>
    </cfRule>
    <cfRule type="cellIs" dxfId="1079" priority="2461" operator="equal">
      <formula>0</formula>
    </cfRule>
    <cfRule type="expression" dxfId="1078" priority="2462">
      <formula>$C33&gt;$E$3</formula>
    </cfRule>
  </conditionalFormatting>
  <conditionalFormatting sqref="H33:H37">
    <cfRule type="expression" dxfId="1077" priority="2458">
      <formula>$C33&lt;$E$3</formula>
    </cfRule>
  </conditionalFormatting>
  <conditionalFormatting sqref="H33:H37">
    <cfRule type="expression" dxfId="1076" priority="2454">
      <formula>$C33=$E$3</formula>
    </cfRule>
    <cfRule type="expression" dxfId="1075" priority="2455">
      <formula>$C33&lt;$E$3</formula>
    </cfRule>
    <cfRule type="cellIs" dxfId="1074" priority="2456" operator="equal">
      <formula>0</formula>
    </cfRule>
    <cfRule type="expression" dxfId="1073" priority="2457">
      <formula>$C33&gt;$E$3</formula>
    </cfRule>
  </conditionalFormatting>
  <conditionalFormatting sqref="H33:H37">
    <cfRule type="expression" dxfId="1072" priority="2453">
      <formula>$E33=""</formula>
    </cfRule>
  </conditionalFormatting>
  <conditionalFormatting sqref="H33:H37">
    <cfRule type="expression" dxfId="1071" priority="2452">
      <formula>$C33&lt;$E$3</formula>
    </cfRule>
  </conditionalFormatting>
  <conditionalFormatting sqref="H33:H37">
    <cfRule type="expression" dxfId="1070" priority="2451">
      <formula>$E33=""</formula>
    </cfRule>
  </conditionalFormatting>
  <conditionalFormatting sqref="H33:H37">
    <cfRule type="expression" dxfId="1069" priority="2450">
      <formula>$E33=""</formula>
    </cfRule>
  </conditionalFormatting>
  <conditionalFormatting sqref="H33:H37">
    <cfRule type="expression" dxfId="1068" priority="2449">
      <formula>$C33&lt;$E$3</formula>
    </cfRule>
  </conditionalFormatting>
  <conditionalFormatting sqref="H33:H37">
    <cfRule type="expression" dxfId="1067" priority="2448">
      <formula>$E33=""</formula>
    </cfRule>
  </conditionalFormatting>
  <conditionalFormatting sqref="H33:H37">
    <cfRule type="expression" dxfId="1066" priority="2447">
      <formula>$C33&lt;$E$3</formula>
    </cfRule>
  </conditionalFormatting>
  <conditionalFormatting sqref="H33:H37">
    <cfRule type="expression" dxfId="1065" priority="2446">
      <formula>$E33=""</formula>
    </cfRule>
  </conditionalFormatting>
  <conditionalFormatting sqref="H33:H37">
    <cfRule type="expression" dxfId="1064" priority="2445">
      <formula>$C33&lt;$E$3</formula>
    </cfRule>
  </conditionalFormatting>
  <conditionalFormatting sqref="H33:H37">
    <cfRule type="expression" dxfId="1063" priority="2444">
      <formula>$E33=""</formula>
    </cfRule>
  </conditionalFormatting>
  <conditionalFormatting sqref="K10">
    <cfRule type="expression" dxfId="1062" priority="816">
      <formula>$C10&lt;$E$3</formula>
    </cfRule>
  </conditionalFormatting>
  <conditionalFormatting sqref="K10">
    <cfRule type="expression" dxfId="1061" priority="786">
      <formula>$C10&lt;$E$3</formula>
    </cfRule>
  </conditionalFormatting>
  <conditionalFormatting sqref="K5:K9">
    <cfRule type="expression" dxfId="1060" priority="761">
      <formula>$E5=""</formula>
    </cfRule>
  </conditionalFormatting>
  <conditionalFormatting sqref="V50:W51 V5:W20 V23:W29 V32:W38 V41:W47">
    <cfRule type="cellIs" dxfId="1059" priority="1678" stopIfTrue="1" operator="lessThan">
      <formula>0</formula>
    </cfRule>
  </conditionalFormatting>
  <conditionalFormatting sqref="Q4:Q51 R5:R11 R14:R20 R23:R29 R32:R38 R41:R47 R50:R51 T50:U51 T41:U47 T32:U38 T23:U29 T14:U20 T5:U11">
    <cfRule type="cellIs" dxfId="1058" priority="1679" stopIfTrue="1" operator="lessThan">
      <formula>0</formula>
    </cfRule>
  </conditionalFormatting>
  <conditionalFormatting sqref="K5:K9">
    <cfRule type="expression" dxfId="1057" priority="726">
      <formula>$C5&lt;$E$3</formula>
    </cfRule>
  </conditionalFormatting>
  <conditionalFormatting sqref="K50:K51">
    <cfRule type="expression" dxfId="1056" priority="715">
      <formula>$C50&lt;$E$3</formula>
    </cfRule>
  </conditionalFormatting>
  <conditionalFormatting sqref="K50:K51">
    <cfRule type="expression" dxfId="1055" priority="706">
      <formula>$C50&lt;$E$3</formula>
    </cfRule>
  </conditionalFormatting>
  <conditionalFormatting sqref="K50:K51">
    <cfRule type="expression" dxfId="1054" priority="690">
      <formula>$C50&lt;$E$3</formula>
    </cfRule>
  </conditionalFormatting>
  <conditionalFormatting sqref="K50:K51">
    <cfRule type="expression" dxfId="1053" priority="685">
      <formula>$C50&lt;$E$3</formula>
    </cfRule>
  </conditionalFormatting>
  <conditionalFormatting sqref="K28">
    <cfRule type="expression" dxfId="1052" priority="382">
      <formula>$C28&lt;$E$3</formula>
    </cfRule>
  </conditionalFormatting>
  <conditionalFormatting sqref="K28">
    <cfRule type="expression" dxfId="1051" priority="352">
      <formula>$C28&lt;$E$3</formula>
    </cfRule>
  </conditionalFormatting>
  <conditionalFormatting sqref="K23:K27">
    <cfRule type="expression" dxfId="1050" priority="322">
      <formula>$C23&lt;$E$3</formula>
    </cfRule>
  </conditionalFormatting>
  <conditionalFormatting sqref="K50:K51">
    <cfRule type="expression" dxfId="1049" priority="671">
      <formula>$C50&lt;$E$3</formula>
    </cfRule>
  </conditionalFormatting>
  <conditionalFormatting sqref="K50:K51">
    <cfRule type="expression" dxfId="1048" priority="650">
      <formula>$C50&lt;$E$3</formula>
    </cfRule>
  </conditionalFormatting>
  <conditionalFormatting sqref="K50:K51">
    <cfRule type="expression" dxfId="1047" priority="641">
      <formula>$C50&lt;$E$3</formula>
    </cfRule>
  </conditionalFormatting>
  <conditionalFormatting sqref="J41:J47 J14:J20 L14:M20 L32:M38 L41:M47 J23:J29 J32:J38 L23:M29">
    <cfRule type="expression" dxfId="1046" priority="619">
      <formula>$E14=""</formula>
    </cfRule>
  </conditionalFormatting>
  <conditionalFormatting sqref="M14:M20 M32:M38 M41:M47 M23:M29">
    <cfRule type="expression" dxfId="1045" priority="617">
      <formula>$C14&lt;$E$3</formula>
    </cfRule>
  </conditionalFormatting>
  <conditionalFormatting sqref="M14:M20 M32:M38 M41:M47 M23:M29">
    <cfRule type="expression" dxfId="1044" priority="596">
      <formula>$C14&lt;$E$3</formula>
    </cfRule>
  </conditionalFormatting>
  <conditionalFormatting sqref="M14:M20 M32:M38 M41:M47 M23:M29">
    <cfRule type="expression" dxfId="1043" priority="587">
      <formula>$C14&lt;$E$3</formula>
    </cfRule>
  </conditionalFormatting>
  <conditionalFormatting sqref="M14:M20 M32:M38 M41:M47 M23:M29">
    <cfRule type="expression" dxfId="1042" priority="566">
      <formula>$C14&lt;$E$3</formula>
    </cfRule>
  </conditionalFormatting>
  <conditionalFormatting sqref="K19">
    <cfRule type="expression" dxfId="1041" priority="519">
      <formula>$C19&lt;$E$3</formula>
    </cfRule>
  </conditionalFormatting>
  <conditionalFormatting sqref="K19">
    <cfRule type="expression" dxfId="1040" priority="489">
      <formula>$C19&lt;$E$3</formula>
    </cfRule>
  </conditionalFormatting>
  <conditionalFormatting sqref="K14:K18">
    <cfRule type="expression" dxfId="1039" priority="459">
      <formula>$C14&lt;$E$3</formula>
    </cfRule>
  </conditionalFormatting>
  <conditionalFormatting sqref="K14:K18">
    <cfRule type="expression" dxfId="1038" priority="429">
      <formula>$C14&lt;$E$3</formula>
    </cfRule>
  </conditionalFormatting>
  <conditionalFormatting sqref="K23:K27">
    <cfRule type="expression" dxfId="1037" priority="292">
      <formula>$C23&lt;$E$3</formula>
    </cfRule>
  </conditionalFormatting>
  <conditionalFormatting sqref="K37">
    <cfRule type="expression" dxfId="1036" priority="245">
      <formula>$C37&lt;$E$3</formula>
    </cfRule>
  </conditionalFormatting>
  <conditionalFormatting sqref="K37">
    <cfRule type="expression" dxfId="1035" priority="215">
      <formula>$C37&lt;$E$3</formula>
    </cfRule>
  </conditionalFormatting>
  <conditionalFormatting sqref="K32:K36">
    <cfRule type="expression" dxfId="1034" priority="185">
      <formula>$C32&lt;$E$3</formula>
    </cfRule>
  </conditionalFormatting>
  <conditionalFormatting sqref="K32:K36">
    <cfRule type="expression" dxfId="1033" priority="155">
      <formula>$C32&lt;$E$3</formula>
    </cfRule>
  </conditionalFormatting>
  <conditionalFormatting sqref="F10:H11">
    <cfRule type="cellIs" dxfId="1032" priority="1046" stopIfTrue="1" operator="lessThan">
      <formula>0</formula>
    </cfRule>
  </conditionalFormatting>
  <conditionalFormatting sqref="F10:H11">
    <cfRule type="expression" dxfId="1031" priority="1047">
      <formula>$C10=$E$3</formula>
    </cfRule>
    <cfRule type="expression" dxfId="1030" priority="1048">
      <formula>$C10&lt;$E$3</formula>
    </cfRule>
    <cfRule type="cellIs" dxfId="1029" priority="1049" operator="equal">
      <formula>0</formula>
    </cfRule>
    <cfRule type="expression" dxfId="1028" priority="1050">
      <formula>$C10&gt;$E$3</formula>
    </cfRule>
  </conditionalFormatting>
  <conditionalFormatting sqref="F10:H11">
    <cfRule type="expression" dxfId="1027" priority="1042">
      <formula>$C10=$E$3</formula>
    </cfRule>
    <cfRule type="expression" dxfId="1026" priority="1043">
      <formula>$C10&lt;$E$3</formula>
    </cfRule>
    <cfRule type="cellIs" dxfId="1025" priority="1044" operator="equal">
      <formula>0</formula>
    </cfRule>
    <cfRule type="expression" dxfId="1024" priority="1045">
      <formula>$C10&gt;$E$3</formula>
    </cfRule>
  </conditionalFormatting>
  <conditionalFormatting sqref="F10:H11">
    <cfRule type="expression" dxfId="1023" priority="1041">
      <formula>$C10&lt;$E$3</formula>
    </cfRule>
  </conditionalFormatting>
  <conditionalFormatting sqref="F10:H11">
    <cfRule type="expression" dxfId="1022" priority="1040">
      <formula>$E10=""</formula>
    </cfRule>
  </conditionalFormatting>
  <conditionalFormatting sqref="F10:H11">
    <cfRule type="expression" dxfId="1021" priority="1036">
      <formula>$C10=$E$3</formula>
    </cfRule>
    <cfRule type="expression" dxfId="1020" priority="1037">
      <formula>$C10&lt;$E$3</formula>
    </cfRule>
    <cfRule type="cellIs" dxfId="1019" priority="1038" operator="equal">
      <formula>0</formula>
    </cfRule>
    <cfRule type="expression" dxfId="1018" priority="1039">
      <formula>$C10&gt;$E$3</formula>
    </cfRule>
  </conditionalFormatting>
  <conditionalFormatting sqref="F10:H11">
    <cfRule type="expression" dxfId="1017" priority="1035">
      <formula>$C10&lt;$E$3</formula>
    </cfRule>
  </conditionalFormatting>
  <conditionalFormatting sqref="F10:H11">
    <cfRule type="expression" dxfId="1016" priority="1034">
      <formula>$E10=""</formula>
    </cfRule>
  </conditionalFormatting>
  <conditionalFormatting sqref="F10:H11">
    <cfRule type="expression" dxfId="1015" priority="1033">
      <formula>$C10&lt;$E$3</formula>
    </cfRule>
  </conditionalFormatting>
  <conditionalFormatting sqref="F10:H11">
    <cfRule type="expression" dxfId="1014" priority="1029">
      <formula>$C10=$E$3</formula>
    </cfRule>
    <cfRule type="expression" dxfId="1013" priority="1030">
      <formula>$C10&lt;$E$3</formula>
    </cfRule>
    <cfRule type="cellIs" dxfId="1012" priority="1031" operator="equal">
      <formula>0</formula>
    </cfRule>
    <cfRule type="expression" dxfId="1011" priority="1032">
      <formula>$C10&gt;$E$3</formula>
    </cfRule>
  </conditionalFormatting>
  <conditionalFormatting sqref="F10:H11">
    <cfRule type="expression" dxfId="1010" priority="1028">
      <formula>$E10=""</formula>
    </cfRule>
  </conditionalFormatting>
  <conditionalFormatting sqref="F10:H11">
    <cfRule type="expression" dxfId="1009" priority="1027">
      <formula>$C10&lt;$E$3</formula>
    </cfRule>
  </conditionalFormatting>
  <conditionalFormatting sqref="F10:H11">
    <cfRule type="expression" dxfId="1008" priority="1026">
      <formula>$E10=""</formula>
    </cfRule>
  </conditionalFormatting>
  <conditionalFormatting sqref="F10:H11">
    <cfRule type="expression" dxfId="1007" priority="1025">
      <formula>$E10=""</formula>
    </cfRule>
  </conditionalFormatting>
  <conditionalFormatting sqref="F10:H11">
    <cfRule type="expression" dxfId="1006" priority="1024">
      <formula>$C10&lt;$E$3</formula>
    </cfRule>
  </conditionalFormatting>
  <conditionalFormatting sqref="F10:H11">
    <cfRule type="expression" dxfId="1005" priority="1023">
      <formula>$E10=""</formula>
    </cfRule>
  </conditionalFormatting>
  <conditionalFormatting sqref="F10:H11">
    <cfRule type="expression" dxfId="1004" priority="1022">
      <formula>$C10&lt;$E$3</formula>
    </cfRule>
  </conditionalFormatting>
  <conditionalFormatting sqref="F10:H11">
    <cfRule type="expression" dxfId="1003" priority="1021">
      <formula>$E10=""</formula>
    </cfRule>
  </conditionalFormatting>
  <conditionalFormatting sqref="F10:H11">
    <cfRule type="expression" dxfId="1002" priority="1020">
      <formula>$C10&lt;$E$3</formula>
    </cfRule>
  </conditionalFormatting>
  <conditionalFormatting sqref="F10:H11">
    <cfRule type="expression" dxfId="1001" priority="1019">
      <formula>$E10=""</formula>
    </cfRule>
  </conditionalFormatting>
  <conditionalFormatting sqref="F16:H18">
    <cfRule type="cellIs" dxfId="1000" priority="1014" stopIfTrue="1" operator="lessThan">
      <formula>0</formula>
    </cfRule>
  </conditionalFormatting>
  <conditionalFormatting sqref="F16:H18">
    <cfRule type="expression" dxfId="999" priority="1015">
      <formula>$C16=$E$3</formula>
    </cfRule>
    <cfRule type="expression" dxfId="998" priority="1016">
      <formula>$C16&lt;$E$3</formula>
    </cfRule>
    <cfRule type="cellIs" dxfId="997" priority="1017" operator="equal">
      <formula>0</formula>
    </cfRule>
    <cfRule type="expression" dxfId="996" priority="1018">
      <formula>$C16&gt;$E$3</formula>
    </cfRule>
  </conditionalFormatting>
  <conditionalFormatting sqref="F16:H18">
    <cfRule type="expression" dxfId="995" priority="1010">
      <formula>$C16=$E$3</formula>
    </cfRule>
    <cfRule type="expression" dxfId="994" priority="1011">
      <formula>$C16&lt;$E$3</formula>
    </cfRule>
    <cfRule type="cellIs" dxfId="993" priority="1012" operator="equal">
      <formula>0</formula>
    </cfRule>
    <cfRule type="expression" dxfId="992" priority="1013">
      <formula>$C16&gt;$E$3</formula>
    </cfRule>
  </conditionalFormatting>
  <conditionalFormatting sqref="F16:H18">
    <cfRule type="expression" dxfId="991" priority="1009">
      <formula>$C16&lt;$E$3</formula>
    </cfRule>
  </conditionalFormatting>
  <conditionalFormatting sqref="F16:H18">
    <cfRule type="expression" dxfId="990" priority="1008">
      <formula>$E16=""</formula>
    </cfRule>
  </conditionalFormatting>
  <conditionalFormatting sqref="F16:H18">
    <cfRule type="expression" dxfId="989" priority="1004">
      <formula>$C16=$E$3</formula>
    </cfRule>
    <cfRule type="expression" dxfId="988" priority="1005">
      <formula>$C16&lt;$E$3</formula>
    </cfRule>
    <cfRule type="cellIs" dxfId="987" priority="1006" operator="equal">
      <formula>0</formula>
    </cfRule>
    <cfRule type="expression" dxfId="986" priority="1007">
      <formula>$C16&gt;$E$3</formula>
    </cfRule>
  </conditionalFormatting>
  <conditionalFormatting sqref="F16:H18">
    <cfRule type="expression" dxfId="985" priority="1003">
      <formula>$C16&lt;$E$3</formula>
    </cfRule>
  </conditionalFormatting>
  <conditionalFormatting sqref="F16:H18">
    <cfRule type="expression" dxfId="984" priority="1002">
      <formula>$E16=""</formula>
    </cfRule>
  </conditionalFormatting>
  <conditionalFormatting sqref="F16:H18">
    <cfRule type="expression" dxfId="983" priority="1001">
      <formula>$C16&lt;$E$3</formula>
    </cfRule>
  </conditionalFormatting>
  <conditionalFormatting sqref="F16:H18">
    <cfRule type="expression" dxfId="982" priority="997">
      <formula>$C16=$E$3</formula>
    </cfRule>
    <cfRule type="expression" dxfId="981" priority="998">
      <formula>$C16&lt;$E$3</formula>
    </cfRule>
    <cfRule type="cellIs" dxfId="980" priority="999" operator="equal">
      <formula>0</formula>
    </cfRule>
    <cfRule type="expression" dxfId="979" priority="1000">
      <formula>$C16&gt;$E$3</formula>
    </cfRule>
  </conditionalFormatting>
  <conditionalFormatting sqref="F16:H18">
    <cfRule type="expression" dxfId="978" priority="996">
      <formula>$E16=""</formula>
    </cfRule>
  </conditionalFormatting>
  <conditionalFormatting sqref="F16:H18">
    <cfRule type="expression" dxfId="977" priority="995">
      <formula>$C16&lt;$E$3</formula>
    </cfRule>
  </conditionalFormatting>
  <conditionalFormatting sqref="F16:H18">
    <cfRule type="expression" dxfId="976" priority="994">
      <formula>$E16=""</formula>
    </cfRule>
  </conditionalFormatting>
  <conditionalFormatting sqref="F16:H18">
    <cfRule type="expression" dxfId="975" priority="993">
      <formula>$E16=""</formula>
    </cfRule>
  </conditionalFormatting>
  <conditionalFormatting sqref="F16:H18">
    <cfRule type="expression" dxfId="974" priority="992">
      <formula>$C16&lt;$E$3</formula>
    </cfRule>
  </conditionalFormatting>
  <conditionalFormatting sqref="F16:H18">
    <cfRule type="expression" dxfId="973" priority="991">
      <formula>$E16=""</formula>
    </cfRule>
  </conditionalFormatting>
  <conditionalFormatting sqref="F16:H18">
    <cfRule type="expression" dxfId="972" priority="990">
      <formula>$C16&lt;$E$3</formula>
    </cfRule>
  </conditionalFormatting>
  <conditionalFormatting sqref="F16:H18">
    <cfRule type="expression" dxfId="971" priority="989">
      <formula>$E16=""</formula>
    </cfRule>
  </conditionalFormatting>
  <conditionalFormatting sqref="F16:H18">
    <cfRule type="expression" dxfId="970" priority="988">
      <formula>$C16&lt;$E$3</formula>
    </cfRule>
  </conditionalFormatting>
  <conditionalFormatting sqref="F16:H18">
    <cfRule type="expression" dxfId="969" priority="987">
      <formula>$E16=""</formula>
    </cfRule>
  </conditionalFormatting>
  <conditionalFormatting sqref="F24:H29">
    <cfRule type="cellIs" dxfId="968" priority="982" stopIfTrue="1" operator="lessThan">
      <formula>0</formula>
    </cfRule>
  </conditionalFormatting>
  <conditionalFormatting sqref="F24:H29">
    <cfRule type="expression" dxfId="967" priority="983">
      <formula>$C24=$E$3</formula>
    </cfRule>
    <cfRule type="expression" dxfId="966" priority="984">
      <formula>$C24&lt;$E$3</formula>
    </cfRule>
    <cfRule type="cellIs" dxfId="965" priority="985" operator="equal">
      <formula>0</formula>
    </cfRule>
    <cfRule type="expression" dxfId="964" priority="986">
      <formula>$C24&gt;$E$3</formula>
    </cfRule>
  </conditionalFormatting>
  <conditionalFormatting sqref="F24:H29">
    <cfRule type="expression" dxfId="963" priority="978">
      <formula>$C24=$E$3</formula>
    </cfRule>
    <cfRule type="expression" dxfId="962" priority="979">
      <formula>$C24&lt;$E$3</formula>
    </cfRule>
    <cfRule type="cellIs" dxfId="961" priority="980" operator="equal">
      <formula>0</formula>
    </cfRule>
    <cfRule type="expression" dxfId="960" priority="981">
      <formula>$C24&gt;$E$3</formula>
    </cfRule>
  </conditionalFormatting>
  <conditionalFormatting sqref="F24:H29">
    <cfRule type="expression" dxfId="959" priority="977">
      <formula>$C24&lt;$E$3</formula>
    </cfRule>
  </conditionalFormatting>
  <conditionalFormatting sqref="F24:H29">
    <cfRule type="expression" dxfId="958" priority="976">
      <formula>$E24=""</formula>
    </cfRule>
  </conditionalFormatting>
  <conditionalFormatting sqref="F24:H29">
    <cfRule type="expression" dxfId="957" priority="972">
      <formula>$C24=$E$3</formula>
    </cfRule>
    <cfRule type="expression" dxfId="956" priority="973">
      <formula>$C24&lt;$E$3</formula>
    </cfRule>
    <cfRule type="cellIs" dxfId="955" priority="974" operator="equal">
      <formula>0</formula>
    </cfRule>
    <cfRule type="expression" dxfId="954" priority="975">
      <formula>$C24&gt;$E$3</formula>
    </cfRule>
  </conditionalFormatting>
  <conditionalFormatting sqref="F24:H29">
    <cfRule type="expression" dxfId="953" priority="971">
      <formula>$C24&lt;$E$3</formula>
    </cfRule>
  </conditionalFormatting>
  <conditionalFormatting sqref="F24:H29">
    <cfRule type="expression" dxfId="952" priority="970">
      <formula>$E24=""</formula>
    </cfRule>
  </conditionalFormatting>
  <conditionalFormatting sqref="F24:H29">
    <cfRule type="expression" dxfId="951" priority="969">
      <formula>$C24&lt;$E$3</formula>
    </cfRule>
  </conditionalFormatting>
  <conditionalFormatting sqref="F24:H29">
    <cfRule type="expression" dxfId="950" priority="965">
      <formula>$C24=$E$3</formula>
    </cfRule>
    <cfRule type="expression" dxfId="949" priority="966">
      <formula>$C24&lt;$E$3</formula>
    </cfRule>
    <cfRule type="cellIs" dxfId="948" priority="967" operator="equal">
      <formula>0</formula>
    </cfRule>
    <cfRule type="expression" dxfId="947" priority="968">
      <formula>$C24&gt;$E$3</formula>
    </cfRule>
  </conditionalFormatting>
  <conditionalFormatting sqref="F24:H29">
    <cfRule type="expression" dxfId="946" priority="964">
      <formula>$E24=""</formula>
    </cfRule>
  </conditionalFormatting>
  <conditionalFormatting sqref="F24:H29">
    <cfRule type="expression" dxfId="945" priority="963">
      <formula>$C24&lt;$E$3</formula>
    </cfRule>
  </conditionalFormatting>
  <conditionalFormatting sqref="F24:H29">
    <cfRule type="expression" dxfId="944" priority="962">
      <formula>$E24=""</formula>
    </cfRule>
  </conditionalFormatting>
  <conditionalFormatting sqref="F24:H29">
    <cfRule type="expression" dxfId="943" priority="961">
      <formula>$E24=""</formula>
    </cfRule>
  </conditionalFormatting>
  <conditionalFormatting sqref="F24:H29">
    <cfRule type="expression" dxfId="942" priority="960">
      <formula>$C24&lt;$E$3</formula>
    </cfRule>
  </conditionalFormatting>
  <conditionalFormatting sqref="F24:H29">
    <cfRule type="expression" dxfId="941" priority="959">
      <formula>$E24=""</formula>
    </cfRule>
  </conditionalFormatting>
  <conditionalFormatting sqref="F24:H29">
    <cfRule type="expression" dxfId="940" priority="958">
      <formula>$C24&lt;$E$3</formula>
    </cfRule>
  </conditionalFormatting>
  <conditionalFormatting sqref="F24:H29">
    <cfRule type="expression" dxfId="939" priority="957">
      <formula>$E24=""</formula>
    </cfRule>
  </conditionalFormatting>
  <conditionalFormatting sqref="F24:H29">
    <cfRule type="expression" dxfId="938" priority="956">
      <formula>$C24&lt;$E$3</formula>
    </cfRule>
  </conditionalFormatting>
  <conditionalFormatting sqref="F24:H29">
    <cfRule type="expression" dxfId="937" priority="955">
      <formula>$E24=""</formula>
    </cfRule>
  </conditionalFormatting>
  <conditionalFormatting sqref="F32:H32">
    <cfRule type="cellIs" dxfId="936" priority="950" stopIfTrue="1" operator="lessThan">
      <formula>0</formula>
    </cfRule>
  </conditionalFormatting>
  <conditionalFormatting sqref="F32:H32">
    <cfRule type="expression" dxfId="935" priority="951">
      <formula>$C32=$E$3</formula>
    </cfRule>
    <cfRule type="expression" dxfId="934" priority="952">
      <formula>$C32&lt;$E$3</formula>
    </cfRule>
    <cfRule type="cellIs" dxfId="933" priority="953" operator="equal">
      <formula>0</formula>
    </cfRule>
    <cfRule type="expression" dxfId="932" priority="954">
      <formula>$C32&gt;$E$3</formula>
    </cfRule>
  </conditionalFormatting>
  <conditionalFormatting sqref="F32:H32">
    <cfRule type="expression" dxfId="931" priority="946">
      <formula>$C32=$E$3</formula>
    </cfRule>
    <cfRule type="expression" dxfId="930" priority="947">
      <formula>$C32&lt;$E$3</formula>
    </cfRule>
    <cfRule type="cellIs" dxfId="929" priority="948" operator="equal">
      <formula>0</formula>
    </cfRule>
    <cfRule type="expression" dxfId="928" priority="949">
      <formula>$C32&gt;$E$3</formula>
    </cfRule>
  </conditionalFormatting>
  <conditionalFormatting sqref="F32:H32">
    <cfRule type="expression" dxfId="927" priority="945">
      <formula>$C32&lt;$E$3</formula>
    </cfRule>
  </conditionalFormatting>
  <conditionalFormatting sqref="F32:H32">
    <cfRule type="expression" dxfId="926" priority="944">
      <formula>$E32=""</formula>
    </cfRule>
  </conditionalFormatting>
  <conditionalFormatting sqref="F32:H32">
    <cfRule type="expression" dxfId="925" priority="940">
      <formula>$C32=$E$3</formula>
    </cfRule>
    <cfRule type="expression" dxfId="924" priority="941">
      <formula>$C32&lt;$E$3</formula>
    </cfRule>
    <cfRule type="cellIs" dxfId="923" priority="942" operator="equal">
      <formula>0</formula>
    </cfRule>
    <cfRule type="expression" dxfId="922" priority="943">
      <formula>$C32&gt;$E$3</formula>
    </cfRule>
  </conditionalFormatting>
  <conditionalFormatting sqref="F32:H32">
    <cfRule type="expression" dxfId="921" priority="939">
      <formula>$C32&lt;$E$3</formula>
    </cfRule>
  </conditionalFormatting>
  <conditionalFormatting sqref="F32:H32">
    <cfRule type="expression" dxfId="920" priority="938">
      <formula>$E32=""</formula>
    </cfRule>
  </conditionalFormatting>
  <conditionalFormatting sqref="F32:H32">
    <cfRule type="expression" dxfId="919" priority="937">
      <formula>$C32&lt;$E$3</formula>
    </cfRule>
  </conditionalFormatting>
  <conditionalFormatting sqref="F32:H32">
    <cfRule type="expression" dxfId="918" priority="933">
      <formula>$C32=$E$3</formula>
    </cfRule>
    <cfRule type="expression" dxfId="917" priority="934">
      <formula>$C32&lt;$E$3</formula>
    </cfRule>
    <cfRule type="cellIs" dxfId="916" priority="935" operator="equal">
      <formula>0</formula>
    </cfRule>
    <cfRule type="expression" dxfId="915" priority="936">
      <formula>$C32&gt;$E$3</formula>
    </cfRule>
  </conditionalFormatting>
  <conditionalFormatting sqref="F32:H32">
    <cfRule type="expression" dxfId="914" priority="932">
      <formula>$E32=""</formula>
    </cfRule>
  </conditionalFormatting>
  <conditionalFormatting sqref="F32:H32">
    <cfRule type="expression" dxfId="913" priority="931">
      <formula>$C32&lt;$E$3</formula>
    </cfRule>
  </conditionalFormatting>
  <conditionalFormatting sqref="F32:H32">
    <cfRule type="expression" dxfId="912" priority="930">
      <formula>$E32=""</formula>
    </cfRule>
  </conditionalFormatting>
  <conditionalFormatting sqref="F32:H32">
    <cfRule type="expression" dxfId="911" priority="929">
      <formula>$E32=""</formula>
    </cfRule>
  </conditionalFormatting>
  <conditionalFormatting sqref="F32:H32">
    <cfRule type="expression" dxfId="910" priority="928">
      <formula>$C32&lt;$E$3</formula>
    </cfRule>
  </conditionalFormatting>
  <conditionalFormatting sqref="F32:H32">
    <cfRule type="expression" dxfId="909" priority="927">
      <formula>$E32=""</formula>
    </cfRule>
  </conditionalFormatting>
  <conditionalFormatting sqref="F32:H32">
    <cfRule type="expression" dxfId="908" priority="926">
      <formula>$C32&lt;$E$3</formula>
    </cfRule>
  </conditionalFormatting>
  <conditionalFormatting sqref="F32:H32">
    <cfRule type="expression" dxfId="907" priority="925">
      <formula>$E32=""</formula>
    </cfRule>
  </conditionalFormatting>
  <conditionalFormatting sqref="F32:H32">
    <cfRule type="expression" dxfId="906" priority="924">
      <formula>$C32&lt;$E$3</formula>
    </cfRule>
  </conditionalFormatting>
  <conditionalFormatting sqref="F32:H32">
    <cfRule type="expression" dxfId="905" priority="923">
      <formula>$E32=""</formula>
    </cfRule>
  </conditionalFormatting>
  <conditionalFormatting sqref="K5:K11 K50:K51">
    <cfRule type="cellIs" dxfId="904" priority="922" stopIfTrue="1" operator="lessThan">
      <formula>0</formula>
    </cfRule>
  </conditionalFormatting>
  <conditionalFormatting sqref="K5:K11 K50:K51">
    <cfRule type="expression" dxfId="903" priority="920">
      <formula>$C5&lt;$E$3</formula>
    </cfRule>
  </conditionalFormatting>
  <conditionalFormatting sqref="K5:K11 K50:K51">
    <cfRule type="expression" dxfId="902" priority="917">
      <formula>$C5=$E$3</formula>
    </cfRule>
    <cfRule type="expression" dxfId="901" priority="918">
      <formula>$C5&lt;$E$3</formula>
    </cfRule>
    <cfRule type="cellIs" dxfId="900" priority="919" operator="equal">
      <formula>0</formula>
    </cfRule>
    <cfRule type="expression" dxfId="899" priority="921">
      <formula>$C5&gt;$E$3</formula>
    </cfRule>
  </conditionalFormatting>
  <conditionalFormatting sqref="K5:K11 K50:K51">
    <cfRule type="expression" dxfId="898" priority="916">
      <formula>$E5=""</formula>
    </cfRule>
  </conditionalFormatting>
  <conditionalFormatting sqref="K5:K11 K50:K51">
    <cfRule type="expression" dxfId="897" priority="915">
      <formula>$E5=""</formula>
    </cfRule>
  </conditionalFormatting>
  <conditionalFormatting sqref="K5:K11 K50:K51">
    <cfRule type="expression" dxfId="896" priority="914">
      <formula>$E5=""</formula>
    </cfRule>
  </conditionalFormatting>
  <conditionalFormatting sqref="J5:J11 J50:J51 L5:M11 L50:N51">
    <cfRule type="cellIs" dxfId="895" priority="913" stopIfTrue="1" operator="lessThan">
      <formula>0</formula>
    </cfRule>
  </conditionalFormatting>
  <conditionalFormatting sqref="J5:J11 J50:J51 L5:M11 L50:M51">
    <cfRule type="expression" dxfId="894" priority="911">
      <formula>$C5&lt;$E$3</formula>
    </cfRule>
  </conditionalFormatting>
  <conditionalFormatting sqref="J5:J11 J50:J51 L5:M11 L50:M51">
    <cfRule type="expression" dxfId="893" priority="908">
      <formula>$C5=$E$3</formula>
    </cfRule>
    <cfRule type="expression" dxfId="892" priority="909">
      <formula>$C5&lt;$E$3</formula>
    </cfRule>
    <cfRule type="cellIs" dxfId="891" priority="910" operator="equal">
      <formula>0</formula>
    </cfRule>
    <cfRule type="expression" dxfId="890" priority="912">
      <formula>$C5&gt;$E$3</formula>
    </cfRule>
  </conditionalFormatting>
  <conditionalFormatting sqref="J5:J11 J50:J51 L5:M11 L50:M51">
    <cfRule type="expression" dxfId="889" priority="907">
      <formula>$E5=""</formula>
    </cfRule>
  </conditionalFormatting>
  <conditionalFormatting sqref="J5:J11 J50:J51 L5:M11 L50:M51">
    <cfRule type="expression" dxfId="888" priority="906">
      <formula>$E5=""</formula>
    </cfRule>
  </conditionalFormatting>
  <conditionalFormatting sqref="J5:J11 J50:J51 L5:M11 L50:M51">
    <cfRule type="expression" dxfId="887" priority="905">
      <formula>$E5=""</formula>
    </cfRule>
  </conditionalFormatting>
  <conditionalFormatting sqref="M5:M11 M50:M51">
    <cfRule type="expression" dxfId="886" priority="904">
      <formula>$C5&lt;$E$3</formula>
    </cfRule>
  </conditionalFormatting>
  <conditionalFormatting sqref="M5:M11 M50:M51">
    <cfRule type="expression" dxfId="885" priority="900">
      <formula>$C5=$E$3</formula>
    </cfRule>
    <cfRule type="expression" dxfId="884" priority="901">
      <formula>$C5&lt;$E$3</formula>
    </cfRule>
    <cfRule type="cellIs" dxfId="883" priority="902" operator="equal">
      <formula>0</formula>
    </cfRule>
    <cfRule type="expression" dxfId="882" priority="903">
      <formula>$C5&gt;$E$3</formula>
    </cfRule>
  </conditionalFormatting>
  <conditionalFormatting sqref="M5:M11 M50:M51">
    <cfRule type="expression" dxfId="881" priority="899">
      <formula>$C5&lt;$E$3</formula>
    </cfRule>
  </conditionalFormatting>
  <conditionalFormatting sqref="M5:M11 M50:M51">
    <cfRule type="expression" dxfId="880" priority="895">
      <formula>$C5=$E$3</formula>
    </cfRule>
    <cfRule type="expression" dxfId="879" priority="896">
      <formula>$C5&lt;$E$3</formula>
    </cfRule>
    <cfRule type="cellIs" dxfId="878" priority="897" operator="equal">
      <formula>0</formula>
    </cfRule>
    <cfRule type="expression" dxfId="877" priority="898">
      <formula>$C5&gt;$E$3</formula>
    </cfRule>
  </conditionalFormatting>
  <conditionalFormatting sqref="M5:M11 M50:M51">
    <cfRule type="expression" dxfId="876" priority="894">
      <formula>$C5&lt;$E$3</formula>
    </cfRule>
  </conditionalFormatting>
  <conditionalFormatting sqref="M5:M11 M50:M51">
    <cfRule type="expression" dxfId="875" priority="890">
      <formula>$C5=$E$3</formula>
    </cfRule>
    <cfRule type="expression" dxfId="874" priority="891">
      <formula>$C5&lt;$E$3</formula>
    </cfRule>
    <cfRule type="cellIs" dxfId="873" priority="892" operator="equal">
      <formula>0</formula>
    </cfRule>
    <cfRule type="expression" dxfId="872" priority="893">
      <formula>$C5&gt;$E$3</formula>
    </cfRule>
  </conditionalFormatting>
  <conditionalFormatting sqref="M5:M11 M50:M51">
    <cfRule type="expression" dxfId="871" priority="889">
      <formula>$C5&lt;$E$3</formula>
    </cfRule>
  </conditionalFormatting>
  <conditionalFormatting sqref="M5:M11 M50:M51">
    <cfRule type="expression" dxfId="870" priority="885">
      <formula>$C5=$E$3</formula>
    </cfRule>
    <cfRule type="expression" dxfId="869" priority="886">
      <formula>$C5&lt;$E$3</formula>
    </cfRule>
    <cfRule type="cellIs" dxfId="868" priority="887" operator="equal">
      <formula>0</formula>
    </cfRule>
    <cfRule type="expression" dxfId="867" priority="888">
      <formula>$C5&gt;$E$3</formula>
    </cfRule>
  </conditionalFormatting>
  <conditionalFormatting sqref="M5:M11 M50:M51">
    <cfRule type="expression" dxfId="866" priority="884">
      <formula>$E5=""</formula>
    </cfRule>
  </conditionalFormatting>
  <conditionalFormatting sqref="M5:M11 M50:M51">
    <cfRule type="expression" dxfId="865" priority="883">
      <formula>$C5&lt;$E$3</formula>
    </cfRule>
  </conditionalFormatting>
  <conditionalFormatting sqref="M5:M11 M50:M51">
    <cfRule type="expression" dxfId="864" priority="882">
      <formula>$E5=""</formula>
    </cfRule>
  </conditionalFormatting>
  <conditionalFormatting sqref="M5:M11 M50:M51">
    <cfRule type="expression" dxfId="863" priority="881">
      <formula>$E5=""</formula>
    </cfRule>
  </conditionalFormatting>
  <conditionalFormatting sqref="M5:M11 M50:M51">
    <cfRule type="expression" dxfId="862" priority="880">
      <formula>$C5&lt;$E$3</formula>
    </cfRule>
  </conditionalFormatting>
  <conditionalFormatting sqref="M5:M11 M50:M51">
    <cfRule type="expression" dxfId="861" priority="879">
      <formula>$E5=""</formula>
    </cfRule>
  </conditionalFormatting>
  <conditionalFormatting sqref="M5:M11 M50:M51">
    <cfRule type="expression" dxfId="860" priority="878">
      <formula>$C5&lt;$E$3</formula>
    </cfRule>
  </conditionalFormatting>
  <conditionalFormatting sqref="M5:M11 M50:M51">
    <cfRule type="expression" dxfId="859" priority="877">
      <formula>$E5=""</formula>
    </cfRule>
  </conditionalFormatting>
  <conditionalFormatting sqref="M5:M11 M50:M51">
    <cfRule type="expression" dxfId="858" priority="876">
      <formula>$C5&lt;$E$3</formula>
    </cfRule>
  </conditionalFormatting>
  <conditionalFormatting sqref="M5:M11 M50:M51">
    <cfRule type="expression" dxfId="857" priority="875">
      <formula>$E5=""</formula>
    </cfRule>
  </conditionalFormatting>
  <conditionalFormatting sqref="M5:M11 M50:M51">
    <cfRule type="expression" dxfId="856" priority="874">
      <formula>$C5&lt;$E$3</formula>
    </cfRule>
  </conditionalFormatting>
  <conditionalFormatting sqref="M5:M11 M50:M51">
    <cfRule type="expression" dxfId="855" priority="870">
      <formula>$C5=$E$3</formula>
    </cfRule>
    <cfRule type="expression" dxfId="854" priority="871">
      <formula>$C5&lt;$E$3</formula>
    </cfRule>
    <cfRule type="cellIs" dxfId="853" priority="872" operator="equal">
      <formula>0</formula>
    </cfRule>
    <cfRule type="expression" dxfId="852" priority="873">
      <formula>$C5&gt;$E$3</formula>
    </cfRule>
  </conditionalFormatting>
  <conditionalFormatting sqref="M5:M11 M50:M51">
    <cfRule type="expression" dxfId="851" priority="869">
      <formula>$C5&lt;$E$3</formula>
    </cfRule>
  </conditionalFormatting>
  <conditionalFormatting sqref="M5:M11 M50:M51">
    <cfRule type="expression" dxfId="850" priority="865">
      <formula>$C5=$E$3</formula>
    </cfRule>
    <cfRule type="expression" dxfId="849" priority="866">
      <formula>$C5&lt;$E$3</formula>
    </cfRule>
    <cfRule type="cellIs" dxfId="848" priority="867" operator="equal">
      <formula>0</formula>
    </cfRule>
    <cfRule type="expression" dxfId="847" priority="868">
      <formula>$C5&gt;$E$3</formula>
    </cfRule>
  </conditionalFormatting>
  <conditionalFormatting sqref="M5:M11 M50:M51">
    <cfRule type="expression" dxfId="846" priority="864">
      <formula>$C5&lt;$E$3</formula>
    </cfRule>
  </conditionalFormatting>
  <conditionalFormatting sqref="M5:M11 M50:M51">
    <cfRule type="expression" dxfId="845" priority="860">
      <formula>$C5=$E$3</formula>
    </cfRule>
    <cfRule type="expression" dxfId="844" priority="861">
      <formula>$C5&lt;$E$3</formula>
    </cfRule>
    <cfRule type="cellIs" dxfId="843" priority="862" operator="equal">
      <formula>0</formula>
    </cfRule>
    <cfRule type="expression" dxfId="842" priority="863">
      <formula>$C5&gt;$E$3</formula>
    </cfRule>
  </conditionalFormatting>
  <conditionalFormatting sqref="M5:M11 M50:M51">
    <cfRule type="expression" dxfId="841" priority="859">
      <formula>$C5&lt;$E$3</formula>
    </cfRule>
  </conditionalFormatting>
  <conditionalFormatting sqref="M5:M11 M50:M51">
    <cfRule type="expression" dxfId="840" priority="855">
      <formula>$C5=$E$3</formula>
    </cfRule>
    <cfRule type="expression" dxfId="839" priority="856">
      <formula>$C5&lt;$E$3</formula>
    </cfRule>
    <cfRule type="cellIs" dxfId="838" priority="857" operator="equal">
      <formula>0</formula>
    </cfRule>
    <cfRule type="expression" dxfId="837" priority="858">
      <formula>$C5&gt;$E$3</formula>
    </cfRule>
  </conditionalFormatting>
  <conditionalFormatting sqref="M5:M11 M50:M51">
    <cfRule type="expression" dxfId="836" priority="854">
      <formula>$E5=""</formula>
    </cfRule>
  </conditionalFormatting>
  <conditionalFormatting sqref="M5:M11 M50:M51">
    <cfRule type="expression" dxfId="835" priority="853">
      <formula>$C5&lt;$E$3</formula>
    </cfRule>
  </conditionalFormatting>
  <conditionalFormatting sqref="M5:M11 M50:M51">
    <cfRule type="expression" dxfId="834" priority="852">
      <formula>$E5=""</formula>
    </cfRule>
  </conditionalFormatting>
  <conditionalFormatting sqref="M5:M11 M50:M51">
    <cfRule type="expression" dxfId="833" priority="851">
      <formula>$E5=""</formula>
    </cfRule>
  </conditionalFormatting>
  <conditionalFormatting sqref="M5:M11 M50:M51">
    <cfRule type="expression" dxfId="832" priority="850">
      <formula>$C5&lt;$E$3</formula>
    </cfRule>
  </conditionalFormatting>
  <conditionalFormatting sqref="M5:M11 M50:M51">
    <cfRule type="expression" dxfId="831" priority="849">
      <formula>$E5=""</formula>
    </cfRule>
  </conditionalFormatting>
  <conditionalFormatting sqref="M5:M11 M50:M51">
    <cfRule type="expression" dxfId="830" priority="848">
      <formula>$C5&lt;$E$3</formula>
    </cfRule>
  </conditionalFormatting>
  <conditionalFormatting sqref="M5:M11 M50:M51">
    <cfRule type="expression" dxfId="829" priority="847">
      <formula>$E5=""</formula>
    </cfRule>
  </conditionalFormatting>
  <conditionalFormatting sqref="M5:M11 M50:M51">
    <cfRule type="expression" dxfId="828" priority="846">
      <formula>$C5&lt;$E$3</formula>
    </cfRule>
  </conditionalFormatting>
  <conditionalFormatting sqref="M5:M11 M50:M51">
    <cfRule type="expression" dxfId="827" priority="845">
      <formula>$E5=""</formula>
    </cfRule>
  </conditionalFormatting>
  <conditionalFormatting sqref="K10">
    <cfRule type="expression" dxfId="826" priority="844">
      <formula>$C10&lt;$E$3</formula>
    </cfRule>
  </conditionalFormatting>
  <conditionalFormatting sqref="K10">
    <cfRule type="expression" dxfId="825" priority="840">
      <formula>$C10=$E$3</formula>
    </cfRule>
    <cfRule type="expression" dxfId="824" priority="841">
      <formula>$C10&lt;$E$3</formula>
    </cfRule>
    <cfRule type="cellIs" dxfId="823" priority="842" operator="equal">
      <formula>0</formula>
    </cfRule>
    <cfRule type="expression" dxfId="822" priority="843">
      <formula>$C10&gt;$E$3</formula>
    </cfRule>
  </conditionalFormatting>
  <conditionalFormatting sqref="K10">
    <cfRule type="expression" dxfId="821" priority="839">
      <formula>$C10&lt;$E$3</formula>
    </cfRule>
  </conditionalFormatting>
  <conditionalFormatting sqref="K10">
    <cfRule type="expression" dxfId="820" priority="835">
      <formula>$C10=$E$3</formula>
    </cfRule>
    <cfRule type="expression" dxfId="819" priority="836">
      <formula>$C10&lt;$E$3</formula>
    </cfRule>
    <cfRule type="cellIs" dxfId="818" priority="837" operator="equal">
      <formula>0</formula>
    </cfRule>
    <cfRule type="expression" dxfId="817" priority="838">
      <formula>$C10&gt;$E$3</formula>
    </cfRule>
  </conditionalFormatting>
  <conditionalFormatting sqref="K10">
    <cfRule type="expression" dxfId="816" priority="834">
      <formula>$C10&lt;$E$3</formula>
    </cfRule>
  </conditionalFormatting>
  <conditionalFormatting sqref="K10">
    <cfRule type="expression" dxfId="815" priority="830">
      <formula>$C10=$E$3</formula>
    </cfRule>
    <cfRule type="expression" dxfId="814" priority="831">
      <formula>$C10&lt;$E$3</formula>
    </cfRule>
    <cfRule type="cellIs" dxfId="813" priority="832" operator="equal">
      <formula>0</formula>
    </cfRule>
    <cfRule type="expression" dxfId="812" priority="833">
      <formula>$C10&gt;$E$3</formula>
    </cfRule>
  </conditionalFormatting>
  <conditionalFormatting sqref="K10">
    <cfRule type="expression" dxfId="811" priority="829">
      <formula>$C10&lt;$E$3</formula>
    </cfRule>
  </conditionalFormatting>
  <conditionalFormatting sqref="K10">
    <cfRule type="expression" dxfId="810" priority="825">
      <formula>$C10=$E$3</formula>
    </cfRule>
    <cfRule type="expression" dxfId="809" priority="826">
      <formula>$C10&lt;$E$3</formula>
    </cfRule>
    <cfRule type="cellIs" dxfId="808" priority="827" operator="equal">
      <formula>0</formula>
    </cfRule>
    <cfRule type="expression" dxfId="807" priority="828">
      <formula>$C10&gt;$E$3</formula>
    </cfRule>
  </conditionalFormatting>
  <conditionalFormatting sqref="K10">
    <cfRule type="expression" dxfId="806" priority="824">
      <formula>$E10=""</formula>
    </cfRule>
  </conditionalFormatting>
  <conditionalFormatting sqref="K10">
    <cfRule type="expression" dxfId="805" priority="823">
      <formula>$C10&lt;$E$3</formula>
    </cfRule>
  </conditionalFormatting>
  <conditionalFormatting sqref="K10">
    <cfRule type="expression" dxfId="804" priority="822">
      <formula>$E10=""</formula>
    </cfRule>
  </conditionalFormatting>
  <conditionalFormatting sqref="K10">
    <cfRule type="expression" dxfId="803" priority="821">
      <formula>$E10=""</formula>
    </cfRule>
  </conditionalFormatting>
  <conditionalFormatting sqref="K10">
    <cfRule type="expression" dxfId="802" priority="820">
      <formula>$C10&lt;$E$3</formula>
    </cfRule>
  </conditionalFormatting>
  <conditionalFormatting sqref="K10">
    <cfRule type="expression" dxfId="801" priority="819">
      <formula>$E10=""</formula>
    </cfRule>
  </conditionalFormatting>
  <conditionalFormatting sqref="K10">
    <cfRule type="expression" dxfId="800" priority="818">
      <formula>$C10&lt;$E$3</formula>
    </cfRule>
  </conditionalFormatting>
  <conditionalFormatting sqref="K10">
    <cfRule type="expression" dxfId="799" priority="817">
      <formula>$E10=""</formula>
    </cfRule>
  </conditionalFormatting>
  <conditionalFormatting sqref="K10">
    <cfRule type="expression" dxfId="798" priority="815">
      <formula>$E10=""</formula>
    </cfRule>
  </conditionalFormatting>
  <conditionalFormatting sqref="K10">
    <cfRule type="expression" dxfId="797" priority="814">
      <formula>$C10&lt;$E$3</formula>
    </cfRule>
  </conditionalFormatting>
  <conditionalFormatting sqref="K10">
    <cfRule type="expression" dxfId="796" priority="810">
      <formula>$C10=$E$3</formula>
    </cfRule>
    <cfRule type="expression" dxfId="795" priority="811">
      <formula>$C10&lt;$E$3</formula>
    </cfRule>
    <cfRule type="cellIs" dxfId="794" priority="812" operator="equal">
      <formula>0</formula>
    </cfRule>
    <cfRule type="expression" dxfId="793" priority="813">
      <formula>$C10&gt;$E$3</formula>
    </cfRule>
  </conditionalFormatting>
  <conditionalFormatting sqref="K10">
    <cfRule type="expression" dxfId="792" priority="809">
      <formula>$C10&lt;$E$3</formula>
    </cfRule>
  </conditionalFormatting>
  <conditionalFormatting sqref="K10">
    <cfRule type="expression" dxfId="791" priority="805">
      <formula>$C10=$E$3</formula>
    </cfRule>
    <cfRule type="expression" dxfId="790" priority="806">
      <formula>$C10&lt;$E$3</formula>
    </cfRule>
    <cfRule type="cellIs" dxfId="789" priority="807" operator="equal">
      <formula>0</formula>
    </cfRule>
    <cfRule type="expression" dxfId="788" priority="808">
      <formula>$C10&gt;$E$3</formula>
    </cfRule>
  </conditionalFormatting>
  <conditionalFormatting sqref="K10">
    <cfRule type="expression" dxfId="787" priority="804">
      <formula>$C10&lt;$E$3</formula>
    </cfRule>
  </conditionalFormatting>
  <conditionalFormatting sqref="K10">
    <cfRule type="expression" dxfId="786" priority="800">
      <formula>$C10=$E$3</formula>
    </cfRule>
    <cfRule type="expression" dxfId="785" priority="801">
      <formula>$C10&lt;$E$3</formula>
    </cfRule>
    <cfRule type="cellIs" dxfId="784" priority="802" operator="equal">
      <formula>0</formula>
    </cfRule>
    <cfRule type="expression" dxfId="783" priority="803">
      <formula>$C10&gt;$E$3</formula>
    </cfRule>
  </conditionalFormatting>
  <conditionalFormatting sqref="K10">
    <cfRule type="expression" dxfId="782" priority="799">
      <formula>$C10&lt;$E$3</formula>
    </cfRule>
  </conditionalFormatting>
  <conditionalFormatting sqref="K10">
    <cfRule type="expression" dxfId="781" priority="795">
      <formula>$C10=$E$3</formula>
    </cfRule>
    <cfRule type="expression" dxfId="780" priority="796">
      <formula>$C10&lt;$E$3</formula>
    </cfRule>
    <cfRule type="cellIs" dxfId="779" priority="797" operator="equal">
      <formula>0</formula>
    </cfRule>
    <cfRule type="expression" dxfId="778" priority="798">
      <formula>$C10&gt;$E$3</formula>
    </cfRule>
  </conditionalFormatting>
  <conditionalFormatting sqref="K10">
    <cfRule type="expression" dxfId="777" priority="794">
      <formula>$E10=""</formula>
    </cfRule>
  </conditionalFormatting>
  <conditionalFormatting sqref="K10">
    <cfRule type="expression" dxfId="776" priority="793">
      <formula>$C10&lt;$E$3</formula>
    </cfRule>
  </conditionalFormatting>
  <conditionalFormatting sqref="K10">
    <cfRule type="expression" dxfId="775" priority="792">
      <formula>$E10=""</formula>
    </cfRule>
  </conditionalFormatting>
  <conditionalFormatting sqref="K10">
    <cfRule type="expression" dxfId="774" priority="791">
      <formula>$E10=""</formula>
    </cfRule>
  </conditionalFormatting>
  <conditionalFormatting sqref="K10">
    <cfRule type="expression" dxfId="773" priority="790">
      <formula>$C10&lt;$E$3</formula>
    </cfRule>
  </conditionalFormatting>
  <conditionalFormatting sqref="K10">
    <cfRule type="expression" dxfId="772" priority="789">
      <formula>$E10=""</formula>
    </cfRule>
  </conditionalFormatting>
  <conditionalFormatting sqref="K10">
    <cfRule type="expression" dxfId="771" priority="788">
      <formula>$C10&lt;$E$3</formula>
    </cfRule>
  </conditionalFormatting>
  <conditionalFormatting sqref="K10">
    <cfRule type="expression" dxfId="770" priority="787">
      <formula>$E10=""</formula>
    </cfRule>
  </conditionalFormatting>
  <conditionalFormatting sqref="K10">
    <cfRule type="expression" dxfId="769" priority="785">
      <formula>$E10=""</formula>
    </cfRule>
  </conditionalFormatting>
  <conditionalFormatting sqref="K5:K9">
    <cfRule type="expression" dxfId="768" priority="784">
      <formula>$C5&lt;$E$3</formula>
    </cfRule>
  </conditionalFormatting>
  <conditionalFormatting sqref="K5:K9">
    <cfRule type="expression" dxfId="767" priority="780">
      <formula>$C5=$E$3</formula>
    </cfRule>
    <cfRule type="expression" dxfId="766" priority="781">
      <formula>$C5&lt;$E$3</formula>
    </cfRule>
    <cfRule type="cellIs" dxfId="765" priority="782" operator="equal">
      <formula>0</formula>
    </cfRule>
    <cfRule type="expression" dxfId="764" priority="783">
      <formula>$C5&gt;$E$3</formula>
    </cfRule>
  </conditionalFormatting>
  <conditionalFormatting sqref="K5:K9">
    <cfRule type="expression" dxfId="763" priority="779">
      <formula>$C5&lt;$E$3</formula>
    </cfRule>
  </conditionalFormatting>
  <conditionalFormatting sqref="K5:K9">
    <cfRule type="expression" dxfId="762" priority="775">
      <formula>$C5=$E$3</formula>
    </cfRule>
    <cfRule type="expression" dxfId="761" priority="776">
      <formula>$C5&lt;$E$3</formula>
    </cfRule>
    <cfRule type="cellIs" dxfId="760" priority="777" operator="equal">
      <formula>0</formula>
    </cfRule>
    <cfRule type="expression" dxfId="759" priority="778">
      <formula>$C5&gt;$E$3</formula>
    </cfRule>
  </conditionalFormatting>
  <conditionalFormatting sqref="K5:K9">
    <cfRule type="expression" dxfId="758" priority="774">
      <formula>$C5&lt;$E$3</formula>
    </cfRule>
  </conditionalFormatting>
  <conditionalFormatting sqref="K5:K9">
    <cfRule type="expression" dxfId="757" priority="770">
      <formula>$C5=$E$3</formula>
    </cfRule>
    <cfRule type="expression" dxfId="756" priority="771">
      <formula>$C5&lt;$E$3</formula>
    </cfRule>
    <cfRule type="cellIs" dxfId="755" priority="772" operator="equal">
      <formula>0</formula>
    </cfRule>
    <cfRule type="expression" dxfId="754" priority="773">
      <formula>$C5&gt;$E$3</formula>
    </cfRule>
  </conditionalFormatting>
  <conditionalFormatting sqref="K5:K9">
    <cfRule type="expression" dxfId="753" priority="769">
      <formula>$C5&lt;$E$3</formula>
    </cfRule>
  </conditionalFormatting>
  <conditionalFormatting sqref="K5:K9">
    <cfRule type="expression" dxfId="752" priority="765">
      <formula>$C5=$E$3</formula>
    </cfRule>
    <cfRule type="expression" dxfId="751" priority="766">
      <formula>$C5&lt;$E$3</formula>
    </cfRule>
    <cfRule type="cellIs" dxfId="750" priority="767" operator="equal">
      <formula>0</formula>
    </cfRule>
    <cfRule type="expression" dxfId="749" priority="768">
      <formula>$C5&gt;$E$3</formula>
    </cfRule>
  </conditionalFormatting>
  <conditionalFormatting sqref="K5:K9">
    <cfRule type="expression" dxfId="748" priority="764">
      <formula>$E5=""</formula>
    </cfRule>
  </conditionalFormatting>
  <conditionalFormatting sqref="K5:K9">
    <cfRule type="expression" dxfId="747" priority="763">
      <formula>$C5&lt;$E$3</formula>
    </cfRule>
  </conditionalFormatting>
  <conditionalFormatting sqref="K5:K9">
    <cfRule type="expression" dxfId="746" priority="762">
      <formula>$E5=""</formula>
    </cfRule>
  </conditionalFormatting>
  <conditionalFormatting sqref="K5:K9">
    <cfRule type="expression" dxfId="745" priority="760">
      <formula>$C5&lt;$E$3</formula>
    </cfRule>
  </conditionalFormatting>
  <conditionalFormatting sqref="K5:K9">
    <cfRule type="expression" dxfId="744" priority="759">
      <formula>$E5=""</formula>
    </cfRule>
  </conditionalFormatting>
  <conditionalFormatting sqref="K5:K9">
    <cfRule type="expression" dxfId="743" priority="758">
      <formula>$C5&lt;$E$3</formula>
    </cfRule>
  </conditionalFormatting>
  <conditionalFormatting sqref="K5:K9">
    <cfRule type="expression" dxfId="742" priority="757">
      <formula>$E5=""</formula>
    </cfRule>
  </conditionalFormatting>
  <conditionalFormatting sqref="K5:K9">
    <cfRule type="expression" dxfId="741" priority="756">
      <formula>$C5&lt;$E$3</formula>
    </cfRule>
  </conditionalFormatting>
  <conditionalFormatting sqref="K5:K9">
    <cfRule type="expression" dxfId="740" priority="755">
      <formula>$E5=""</formula>
    </cfRule>
  </conditionalFormatting>
  <conditionalFormatting sqref="K5:K9">
    <cfRule type="expression" dxfId="739" priority="754">
      <formula>$C5&lt;$E$3</formula>
    </cfRule>
  </conditionalFormatting>
  <conditionalFormatting sqref="K5:K9">
    <cfRule type="expression" dxfId="738" priority="750">
      <formula>$C5=$E$3</formula>
    </cfRule>
    <cfRule type="expression" dxfId="737" priority="751">
      <formula>$C5&lt;$E$3</formula>
    </cfRule>
    <cfRule type="cellIs" dxfId="736" priority="752" operator="equal">
      <formula>0</formula>
    </cfRule>
    <cfRule type="expression" dxfId="735" priority="753">
      <formula>$C5&gt;$E$3</formula>
    </cfRule>
  </conditionalFormatting>
  <conditionalFormatting sqref="K5:K9">
    <cfRule type="expression" dxfId="734" priority="749">
      <formula>$C5&lt;$E$3</formula>
    </cfRule>
  </conditionalFormatting>
  <conditionalFormatting sqref="K5:K9">
    <cfRule type="expression" dxfId="733" priority="745">
      <formula>$C5=$E$3</formula>
    </cfRule>
    <cfRule type="expression" dxfId="732" priority="746">
      <formula>$C5&lt;$E$3</formula>
    </cfRule>
    <cfRule type="cellIs" dxfId="731" priority="747" operator="equal">
      <formula>0</formula>
    </cfRule>
    <cfRule type="expression" dxfId="730" priority="748">
      <formula>$C5&gt;$E$3</formula>
    </cfRule>
  </conditionalFormatting>
  <conditionalFormatting sqref="K5:K9">
    <cfRule type="expression" dxfId="729" priority="744">
      <formula>$C5&lt;$E$3</formula>
    </cfRule>
  </conditionalFormatting>
  <conditionalFormatting sqref="K5:K9">
    <cfRule type="expression" dxfId="728" priority="740">
      <formula>$C5=$E$3</formula>
    </cfRule>
    <cfRule type="expression" dxfId="727" priority="741">
      <formula>$C5&lt;$E$3</formula>
    </cfRule>
    <cfRule type="cellIs" dxfId="726" priority="742" operator="equal">
      <formula>0</formula>
    </cfRule>
    <cfRule type="expression" dxfId="725" priority="743">
      <formula>$C5&gt;$E$3</formula>
    </cfRule>
  </conditionalFormatting>
  <conditionalFormatting sqref="K5:K9">
    <cfRule type="expression" dxfId="724" priority="739">
      <formula>$C5&lt;$E$3</formula>
    </cfRule>
  </conditionalFormatting>
  <conditionalFormatting sqref="K5:K9">
    <cfRule type="expression" dxfId="723" priority="735">
      <formula>$C5=$E$3</formula>
    </cfRule>
    <cfRule type="expression" dxfId="722" priority="736">
      <formula>$C5&lt;$E$3</formula>
    </cfRule>
    <cfRule type="cellIs" dxfId="721" priority="737" operator="equal">
      <formula>0</formula>
    </cfRule>
    <cfRule type="expression" dxfId="720" priority="738">
      <formula>$C5&gt;$E$3</formula>
    </cfRule>
  </conditionalFormatting>
  <conditionalFormatting sqref="K5:K9">
    <cfRule type="expression" dxfId="719" priority="734">
      <formula>$E5=""</formula>
    </cfRule>
  </conditionalFormatting>
  <conditionalFormatting sqref="K5:K9">
    <cfRule type="expression" dxfId="718" priority="733">
      <formula>$C5&lt;$E$3</formula>
    </cfRule>
  </conditionalFormatting>
  <conditionalFormatting sqref="K5:K9">
    <cfRule type="expression" dxfId="717" priority="732">
      <formula>$E5=""</formula>
    </cfRule>
  </conditionalFormatting>
  <conditionalFormatting sqref="K5:K9">
    <cfRule type="expression" dxfId="716" priority="731">
      <formula>$E5=""</formula>
    </cfRule>
  </conditionalFormatting>
  <conditionalFormatting sqref="K5:K9">
    <cfRule type="expression" dxfId="715" priority="730">
      <formula>$C5&lt;$E$3</formula>
    </cfRule>
  </conditionalFormatting>
  <conditionalFormatting sqref="K5:K9">
    <cfRule type="expression" dxfId="714" priority="729">
      <formula>$E5=""</formula>
    </cfRule>
  </conditionalFormatting>
  <conditionalFormatting sqref="K5:K9">
    <cfRule type="expression" dxfId="713" priority="728">
      <formula>$C5&lt;$E$3</formula>
    </cfRule>
  </conditionalFormatting>
  <conditionalFormatting sqref="K5:K9">
    <cfRule type="expression" dxfId="712" priority="727">
      <formula>$E5=""</formula>
    </cfRule>
  </conditionalFormatting>
  <conditionalFormatting sqref="K5:K9">
    <cfRule type="expression" dxfId="711" priority="725">
      <formula>$E5=""</formula>
    </cfRule>
  </conditionalFormatting>
  <conditionalFormatting sqref="K5:K11">
    <cfRule type="expression" dxfId="710" priority="723">
      <formula>$C5&lt;$E$3</formula>
    </cfRule>
  </conditionalFormatting>
  <conditionalFormatting sqref="K5:K11">
    <cfRule type="expression" dxfId="709" priority="720">
      <formula>$C5=$E$3</formula>
    </cfRule>
    <cfRule type="expression" dxfId="708" priority="721">
      <formula>$C5&lt;$E$3</formula>
    </cfRule>
    <cfRule type="cellIs" dxfId="707" priority="722" operator="equal">
      <formula>0</formula>
    </cfRule>
    <cfRule type="expression" dxfId="706" priority="724">
      <formula>$C5&gt;$E$3</formula>
    </cfRule>
  </conditionalFormatting>
  <conditionalFormatting sqref="K5:K11">
    <cfRule type="expression" dxfId="705" priority="719">
      <formula>$E5=""</formula>
    </cfRule>
  </conditionalFormatting>
  <conditionalFormatting sqref="K5:K11">
    <cfRule type="expression" dxfId="704" priority="718">
      <formula>$E5=""</formula>
    </cfRule>
  </conditionalFormatting>
  <conditionalFormatting sqref="K5:K11">
    <cfRule type="expression" dxfId="703" priority="717">
      <formula>$E5=""</formula>
    </cfRule>
  </conditionalFormatting>
  <conditionalFormatting sqref="K50:K51">
    <cfRule type="expression" dxfId="702" priority="712">
      <formula>$C50=$E$3</formula>
    </cfRule>
    <cfRule type="expression" dxfId="701" priority="713">
      <formula>$C50&lt;$E$3</formula>
    </cfRule>
    <cfRule type="cellIs" dxfId="700" priority="714" operator="equal">
      <formula>0</formula>
    </cfRule>
    <cfRule type="expression" dxfId="699" priority="716">
      <formula>$C50&gt;$E$3</formula>
    </cfRule>
  </conditionalFormatting>
  <conditionalFormatting sqref="K50:K51">
    <cfRule type="expression" dxfId="698" priority="711">
      <formula>$E50=""</formula>
    </cfRule>
  </conditionalFormatting>
  <conditionalFormatting sqref="K50:K51">
    <cfRule type="expression" dxfId="697" priority="710">
      <formula>$E50=""</formula>
    </cfRule>
  </conditionalFormatting>
  <conditionalFormatting sqref="K50:K51">
    <cfRule type="expression" dxfId="696" priority="709">
      <formula>$E50=""</formula>
    </cfRule>
  </conditionalFormatting>
  <conditionalFormatting sqref="K50:K51">
    <cfRule type="cellIs" dxfId="695" priority="708" stopIfTrue="1" operator="lessThan">
      <formula>0</formula>
    </cfRule>
  </conditionalFormatting>
  <conditionalFormatting sqref="K50:K51">
    <cfRule type="expression" dxfId="694" priority="703">
      <formula>$C50=$E$3</formula>
    </cfRule>
    <cfRule type="expression" dxfId="693" priority="704">
      <formula>$C50&lt;$E$3</formula>
    </cfRule>
    <cfRule type="cellIs" dxfId="692" priority="705" operator="equal">
      <formula>0</formula>
    </cfRule>
    <cfRule type="expression" dxfId="691" priority="707">
      <formula>$C50&gt;$E$3</formula>
    </cfRule>
  </conditionalFormatting>
  <conditionalFormatting sqref="K50:K51">
    <cfRule type="expression" dxfId="690" priority="702">
      <formula>$E50=""</formula>
    </cfRule>
  </conditionalFormatting>
  <conditionalFormatting sqref="K50:K51">
    <cfRule type="expression" dxfId="689" priority="701">
      <formula>$E50=""</formula>
    </cfRule>
  </conditionalFormatting>
  <conditionalFormatting sqref="K50:K51">
    <cfRule type="expression" dxfId="688" priority="700">
      <formula>$E50=""</formula>
    </cfRule>
  </conditionalFormatting>
  <conditionalFormatting sqref="K50:K51">
    <cfRule type="cellIs" dxfId="687" priority="699" stopIfTrue="1" operator="lessThan">
      <formula>0</formula>
    </cfRule>
  </conditionalFormatting>
  <conditionalFormatting sqref="K50:K51">
    <cfRule type="cellIs" dxfId="686" priority="698" stopIfTrue="1" operator="lessThan">
      <formula>0</formula>
    </cfRule>
  </conditionalFormatting>
  <conditionalFormatting sqref="K50:K51">
    <cfRule type="cellIs" dxfId="685" priority="697" stopIfTrue="1" operator="lessThan">
      <formula>0</formula>
    </cfRule>
  </conditionalFormatting>
  <conditionalFormatting sqref="K50:K51">
    <cfRule type="cellIs" dxfId="684" priority="696" stopIfTrue="1" operator="lessThan">
      <formula>0</formula>
    </cfRule>
  </conditionalFormatting>
  <conditionalFormatting sqref="K50:K51">
    <cfRule type="expression" dxfId="683" priority="695">
      <formula>$C50&lt;$E$3</formula>
    </cfRule>
  </conditionalFormatting>
  <conditionalFormatting sqref="K50:K51">
    <cfRule type="expression" dxfId="682" priority="691">
      <formula>$C50=$E$3</formula>
    </cfRule>
    <cfRule type="expression" dxfId="681" priority="692">
      <formula>$C50&lt;$E$3</formula>
    </cfRule>
    <cfRule type="cellIs" dxfId="680" priority="693" operator="equal">
      <formula>0</formula>
    </cfRule>
    <cfRule type="expression" dxfId="679" priority="694">
      <formula>$C50&gt;$E$3</formula>
    </cfRule>
  </conditionalFormatting>
  <conditionalFormatting sqref="K50:K51">
    <cfRule type="expression" dxfId="678" priority="686">
      <formula>$C50=$E$3</formula>
    </cfRule>
    <cfRule type="expression" dxfId="677" priority="687">
      <formula>$C50&lt;$E$3</formula>
    </cfRule>
    <cfRule type="cellIs" dxfId="676" priority="688" operator="equal">
      <formula>0</formula>
    </cfRule>
    <cfRule type="expression" dxfId="675" priority="689">
      <formula>$C50&gt;$E$3</formula>
    </cfRule>
  </conditionalFormatting>
  <conditionalFormatting sqref="K50:K51">
    <cfRule type="expression" dxfId="674" priority="681">
      <formula>$C50=$E$3</formula>
    </cfRule>
    <cfRule type="expression" dxfId="673" priority="682">
      <formula>$C50&lt;$E$3</formula>
    </cfRule>
    <cfRule type="cellIs" dxfId="672" priority="683" operator="equal">
      <formula>0</formula>
    </cfRule>
    <cfRule type="expression" dxfId="671" priority="684">
      <formula>$C50&gt;$E$3</formula>
    </cfRule>
  </conditionalFormatting>
  <conditionalFormatting sqref="K50:K51">
    <cfRule type="expression" dxfId="670" priority="680">
      <formula>$C50&lt;$E$3</formula>
    </cfRule>
  </conditionalFormatting>
  <conditionalFormatting sqref="K50:K51">
    <cfRule type="expression" dxfId="669" priority="676">
      <formula>$C50=$E$3</formula>
    </cfRule>
    <cfRule type="expression" dxfId="668" priority="677">
      <formula>$C50&lt;$E$3</formula>
    </cfRule>
    <cfRule type="cellIs" dxfId="667" priority="678" operator="equal">
      <formula>0</formula>
    </cfRule>
    <cfRule type="expression" dxfId="666" priority="679">
      <formula>$C50&gt;$E$3</formula>
    </cfRule>
  </conditionalFormatting>
  <conditionalFormatting sqref="K50:K51">
    <cfRule type="expression" dxfId="665" priority="675">
      <formula>$E50=""</formula>
    </cfRule>
  </conditionalFormatting>
  <conditionalFormatting sqref="K50:K51">
    <cfRule type="expression" dxfId="664" priority="674">
      <formula>$C50&lt;$E$3</formula>
    </cfRule>
  </conditionalFormatting>
  <conditionalFormatting sqref="K50:K51">
    <cfRule type="expression" dxfId="663" priority="673">
      <formula>$E50=""</formula>
    </cfRule>
  </conditionalFormatting>
  <conditionalFormatting sqref="K50:K51">
    <cfRule type="expression" dxfId="662" priority="672">
      <formula>$E50=""</formula>
    </cfRule>
  </conditionalFormatting>
  <conditionalFormatting sqref="K50:K51">
    <cfRule type="expression" dxfId="661" priority="670">
      <formula>$E50=""</formula>
    </cfRule>
  </conditionalFormatting>
  <conditionalFormatting sqref="K50:K51">
    <cfRule type="expression" dxfId="660" priority="669">
      <formula>$C50&lt;$E$3</formula>
    </cfRule>
  </conditionalFormatting>
  <conditionalFormatting sqref="K50:K51">
    <cfRule type="expression" dxfId="659" priority="668">
      <formula>$E50=""</formula>
    </cfRule>
  </conditionalFormatting>
  <conditionalFormatting sqref="K50:K51">
    <cfRule type="expression" dxfId="658" priority="667">
      <formula>$C50&lt;$E$3</formula>
    </cfRule>
  </conditionalFormatting>
  <conditionalFormatting sqref="K50:K51">
    <cfRule type="expression" dxfId="657" priority="666">
      <formula>$E50=""</formula>
    </cfRule>
  </conditionalFormatting>
  <conditionalFormatting sqref="K50:K51">
    <cfRule type="expression" dxfId="656" priority="665">
      <formula>$C50&lt;$E$3</formula>
    </cfRule>
  </conditionalFormatting>
  <conditionalFormatting sqref="K50:K51">
    <cfRule type="expression" dxfId="655" priority="661">
      <formula>$C50=$E$3</formula>
    </cfRule>
    <cfRule type="expression" dxfId="654" priority="662">
      <formula>$C50&lt;$E$3</formula>
    </cfRule>
    <cfRule type="cellIs" dxfId="653" priority="663" operator="equal">
      <formula>0</formula>
    </cfRule>
    <cfRule type="expression" dxfId="652" priority="664">
      <formula>$C50&gt;$E$3</formula>
    </cfRule>
  </conditionalFormatting>
  <conditionalFormatting sqref="K50:K51">
    <cfRule type="expression" dxfId="651" priority="660">
      <formula>$C50&lt;$E$3</formula>
    </cfRule>
  </conditionalFormatting>
  <conditionalFormatting sqref="K50:K51">
    <cfRule type="expression" dxfId="650" priority="656">
      <formula>$C50=$E$3</formula>
    </cfRule>
    <cfRule type="expression" dxfId="649" priority="657">
      <formula>$C50&lt;$E$3</formula>
    </cfRule>
    <cfRule type="cellIs" dxfId="648" priority="658" operator="equal">
      <formula>0</formula>
    </cfRule>
    <cfRule type="expression" dxfId="647" priority="659">
      <formula>$C50&gt;$E$3</formula>
    </cfRule>
  </conditionalFormatting>
  <conditionalFormatting sqref="K50:K51">
    <cfRule type="expression" dxfId="646" priority="655">
      <formula>$C50&lt;$E$3</formula>
    </cfRule>
  </conditionalFormatting>
  <conditionalFormatting sqref="K50:K51">
    <cfRule type="expression" dxfId="645" priority="651">
      <formula>$C50=$E$3</formula>
    </cfRule>
    <cfRule type="expression" dxfId="644" priority="652">
      <formula>$C50&lt;$E$3</formula>
    </cfRule>
    <cfRule type="cellIs" dxfId="643" priority="653" operator="equal">
      <formula>0</formula>
    </cfRule>
    <cfRule type="expression" dxfId="642" priority="654">
      <formula>$C50&gt;$E$3</formula>
    </cfRule>
  </conditionalFormatting>
  <conditionalFormatting sqref="K50:K51">
    <cfRule type="expression" dxfId="641" priority="646">
      <formula>$C50=$E$3</formula>
    </cfRule>
    <cfRule type="expression" dxfId="640" priority="647">
      <formula>$C50&lt;$E$3</formula>
    </cfRule>
    <cfRule type="cellIs" dxfId="639" priority="648" operator="equal">
      <formula>0</formula>
    </cfRule>
    <cfRule type="expression" dxfId="638" priority="649">
      <formula>$C50&gt;$E$3</formula>
    </cfRule>
  </conditionalFormatting>
  <conditionalFormatting sqref="K50:K51">
    <cfRule type="expression" dxfId="637" priority="645">
      <formula>$E50=""</formula>
    </cfRule>
  </conditionalFormatting>
  <conditionalFormatting sqref="K50:K51">
    <cfRule type="expression" dxfId="636" priority="644">
      <formula>$C50&lt;$E$3</formula>
    </cfRule>
  </conditionalFormatting>
  <conditionalFormatting sqref="K50:K51">
    <cfRule type="expression" dxfId="635" priority="643">
      <formula>$E50=""</formula>
    </cfRule>
  </conditionalFormatting>
  <conditionalFormatting sqref="K50:K51">
    <cfRule type="expression" dxfId="634" priority="642">
      <formula>$E50=""</formula>
    </cfRule>
  </conditionalFormatting>
  <conditionalFormatting sqref="K50:K51">
    <cfRule type="expression" dxfId="633" priority="640">
      <formula>$E50=""</formula>
    </cfRule>
  </conditionalFormatting>
  <conditionalFormatting sqref="K50:K51">
    <cfRule type="expression" dxfId="632" priority="639">
      <formula>$C50&lt;$E$3</formula>
    </cfRule>
  </conditionalFormatting>
  <conditionalFormatting sqref="K50:K51">
    <cfRule type="expression" dxfId="631" priority="638">
      <formula>$E50=""</formula>
    </cfRule>
  </conditionalFormatting>
  <conditionalFormatting sqref="K50:K51">
    <cfRule type="expression" dxfId="630" priority="637">
      <formula>$C50&lt;$E$3</formula>
    </cfRule>
  </conditionalFormatting>
  <conditionalFormatting sqref="K50:K51">
    <cfRule type="expression" dxfId="629" priority="636">
      <formula>$E50=""</formula>
    </cfRule>
  </conditionalFormatting>
  <conditionalFormatting sqref="K50:K51">
    <cfRule type="expression" dxfId="628" priority="634">
      <formula>$C50&lt;$E$3</formula>
    </cfRule>
  </conditionalFormatting>
  <conditionalFormatting sqref="K50:K51">
    <cfRule type="expression" dxfId="627" priority="631">
      <formula>$C50=$E$3</formula>
    </cfRule>
    <cfRule type="expression" dxfId="626" priority="632">
      <formula>$C50&lt;$E$3</formula>
    </cfRule>
    <cfRule type="cellIs" dxfId="625" priority="633" operator="equal">
      <formula>0</formula>
    </cfRule>
    <cfRule type="expression" dxfId="624" priority="635">
      <formula>$C50&gt;$E$3</formula>
    </cfRule>
  </conditionalFormatting>
  <conditionalFormatting sqref="K50:K51">
    <cfRule type="expression" dxfId="623" priority="630">
      <formula>$E50=""</formula>
    </cfRule>
  </conditionalFormatting>
  <conditionalFormatting sqref="K50:K51">
    <cfRule type="expression" dxfId="622" priority="629">
      <formula>$E50=""</formula>
    </cfRule>
  </conditionalFormatting>
  <conditionalFormatting sqref="K50:K51">
    <cfRule type="expression" dxfId="621" priority="628">
      <formula>$E50=""</formula>
    </cfRule>
  </conditionalFormatting>
  <conditionalFormatting sqref="N5:N6 N9">
    <cfRule type="cellIs" dxfId="620" priority="627" stopIfTrue="1" operator="lessThan">
      <formula>0</formula>
    </cfRule>
  </conditionalFormatting>
  <conditionalFormatting sqref="J14:J20 L14:M20 J41:J47 L32:M38 L41:M47 J23:J29 J32:J38 L23:M29">
    <cfRule type="cellIs" dxfId="619" priority="626" stopIfTrue="1" operator="lessThan">
      <formula>0</formula>
    </cfRule>
  </conditionalFormatting>
  <conditionalFormatting sqref="J14:J20 J41:J47 L14:M20 L32:M38 L41:M47 J23:J29 J32:J38 L23:M29">
    <cfRule type="expression" dxfId="618" priority="624">
      <formula>$C14&lt;$E$3</formula>
    </cfRule>
  </conditionalFormatting>
  <conditionalFormatting sqref="J14:J20 J41:J47 L14:M20 L32:M38 L41:M47 J23:J29 J32:J38 L23:M29">
    <cfRule type="expression" dxfId="617" priority="621">
      <formula>$C14=$E$3</formula>
    </cfRule>
    <cfRule type="expression" dxfId="616" priority="622">
      <formula>$C14&lt;$E$3</formula>
    </cfRule>
    <cfRule type="cellIs" dxfId="615" priority="623" operator="equal">
      <formula>0</formula>
    </cfRule>
    <cfRule type="expression" dxfId="614" priority="625">
      <formula>$C14&gt;$E$3</formula>
    </cfRule>
  </conditionalFormatting>
  <conditionalFormatting sqref="J14:J20 J41:J47 L14:M20 L32:M38 L41:M47 J23:J29 J32:J38 L23:M29">
    <cfRule type="expression" dxfId="613" priority="620">
      <formula>$E14=""</formula>
    </cfRule>
  </conditionalFormatting>
  <conditionalFormatting sqref="J41:J47 J14:J20 L14:M20 L32:M38 L41:M47 J23:J29 J32:J38 L23:M29">
    <cfRule type="expression" dxfId="612" priority="618">
      <formula>$E14=""</formula>
    </cfRule>
  </conditionalFormatting>
  <conditionalFormatting sqref="M14:M20 M32:M38 M41:M47 M23:M29">
    <cfRule type="expression" dxfId="611" priority="613">
      <formula>$C14=$E$3</formula>
    </cfRule>
    <cfRule type="expression" dxfId="610" priority="614">
      <formula>$C14&lt;$E$3</formula>
    </cfRule>
    <cfRule type="cellIs" dxfId="609" priority="615" operator="equal">
      <formula>0</formula>
    </cfRule>
    <cfRule type="expression" dxfId="608" priority="616">
      <formula>$C14&gt;$E$3</formula>
    </cfRule>
  </conditionalFormatting>
  <conditionalFormatting sqref="M14:M20 M32:M38 M41:M47 M23:M29">
    <cfRule type="expression" dxfId="607" priority="612">
      <formula>$C14&lt;$E$3</formula>
    </cfRule>
  </conditionalFormatting>
  <conditionalFormatting sqref="M14:M20 M32:M38 M41:M47 M23:M29">
    <cfRule type="expression" dxfId="606" priority="608">
      <formula>$C14=$E$3</formula>
    </cfRule>
    <cfRule type="expression" dxfId="605" priority="609">
      <formula>$C14&lt;$E$3</formula>
    </cfRule>
    <cfRule type="cellIs" dxfId="604" priority="610" operator="equal">
      <formula>0</formula>
    </cfRule>
    <cfRule type="expression" dxfId="603" priority="611">
      <formula>$C14&gt;$E$3</formula>
    </cfRule>
  </conditionalFormatting>
  <conditionalFormatting sqref="M14:M20 M32:M38 M41:M47 M23:M29">
    <cfRule type="expression" dxfId="602" priority="607">
      <formula>$C14&lt;$E$3</formula>
    </cfRule>
  </conditionalFormatting>
  <conditionalFormatting sqref="M14:M20 M32:M38 M41:M47 M23:M29">
    <cfRule type="expression" dxfId="601" priority="603">
      <formula>$C14=$E$3</formula>
    </cfRule>
    <cfRule type="expression" dxfId="600" priority="604">
      <formula>$C14&lt;$E$3</formula>
    </cfRule>
    <cfRule type="cellIs" dxfId="599" priority="605" operator="equal">
      <formula>0</formula>
    </cfRule>
    <cfRule type="expression" dxfId="598" priority="606">
      <formula>$C14&gt;$E$3</formula>
    </cfRule>
  </conditionalFormatting>
  <conditionalFormatting sqref="M14:M20 M32:M38 M41:M47 M23:M29">
    <cfRule type="expression" dxfId="597" priority="602">
      <formula>$C14&lt;$E$3</formula>
    </cfRule>
  </conditionalFormatting>
  <conditionalFormatting sqref="M14:M20 M32:M38 M41:M47 M23:M29">
    <cfRule type="expression" dxfId="596" priority="598">
      <formula>$C14=$E$3</formula>
    </cfRule>
    <cfRule type="expression" dxfId="595" priority="599">
      <formula>$C14&lt;$E$3</formula>
    </cfRule>
    <cfRule type="cellIs" dxfId="594" priority="600" operator="equal">
      <formula>0</formula>
    </cfRule>
    <cfRule type="expression" dxfId="593" priority="601">
      <formula>$C14&gt;$E$3</formula>
    </cfRule>
  </conditionalFormatting>
  <conditionalFormatting sqref="M14:M20 M32:M38 M41:M47 M23:M29">
    <cfRule type="expression" dxfId="592" priority="597">
      <formula>$E14=""</formula>
    </cfRule>
  </conditionalFormatting>
  <conditionalFormatting sqref="M14:M20 M32:M38 M41:M47 M23:M29">
    <cfRule type="expression" dxfId="591" priority="595">
      <formula>$E14=""</formula>
    </cfRule>
  </conditionalFormatting>
  <conditionalFormatting sqref="M32:M38 M41:M47 M14:M20 M23:M29">
    <cfRule type="expression" dxfId="590" priority="594">
      <formula>$E14=""</formula>
    </cfRule>
  </conditionalFormatting>
  <conditionalFormatting sqref="M14:M20 M32:M38 M41:M47 M23:M29">
    <cfRule type="expression" dxfId="589" priority="593">
      <formula>$C14&lt;$E$3</formula>
    </cfRule>
  </conditionalFormatting>
  <conditionalFormatting sqref="M14:M20 M32:M38 M41:M47 M23:M29">
    <cfRule type="expression" dxfId="588" priority="592">
      <formula>$E14=""</formula>
    </cfRule>
  </conditionalFormatting>
  <conditionalFormatting sqref="M14:M20 M32:M38 M41:M47 M23:M29">
    <cfRule type="expression" dxfId="587" priority="591">
      <formula>$C14&lt;$E$3</formula>
    </cfRule>
  </conditionalFormatting>
  <conditionalFormatting sqref="M14:M20 M32:M38 M41:M47 M23:M29">
    <cfRule type="expression" dxfId="586" priority="590">
      <formula>$E14=""</formula>
    </cfRule>
  </conditionalFormatting>
  <conditionalFormatting sqref="M14:M20 M32:M38 M41:M47 M23:M29">
    <cfRule type="expression" dxfId="585" priority="589">
      <formula>$C14&lt;$E$3</formula>
    </cfRule>
  </conditionalFormatting>
  <conditionalFormatting sqref="M14:M20 M32:M38 M41:M47 M23:M29">
    <cfRule type="expression" dxfId="584" priority="588">
      <formula>$E14=""</formula>
    </cfRule>
  </conditionalFormatting>
  <conditionalFormatting sqref="M14:M20 M32:M38 M41:M47 M23:M29">
    <cfRule type="expression" dxfId="583" priority="583">
      <formula>$C14=$E$3</formula>
    </cfRule>
    <cfRule type="expression" dxfId="582" priority="584">
      <formula>$C14&lt;$E$3</formula>
    </cfRule>
    <cfRule type="cellIs" dxfId="581" priority="585" operator="equal">
      <formula>0</formula>
    </cfRule>
    <cfRule type="expression" dxfId="580" priority="586">
      <formula>$C14&gt;$E$3</formula>
    </cfRule>
  </conditionalFormatting>
  <conditionalFormatting sqref="M14:M20 M32:M38 M41:M47 M23:M29">
    <cfRule type="expression" dxfId="579" priority="582">
      <formula>$C14&lt;$E$3</formula>
    </cfRule>
  </conditionalFormatting>
  <conditionalFormatting sqref="M14:M20 M32:M38 M41:M47 M23:M29">
    <cfRule type="expression" dxfId="578" priority="578">
      <formula>$C14=$E$3</formula>
    </cfRule>
    <cfRule type="expression" dxfId="577" priority="579">
      <formula>$C14&lt;$E$3</formula>
    </cfRule>
    <cfRule type="cellIs" dxfId="576" priority="580" operator="equal">
      <formula>0</formula>
    </cfRule>
    <cfRule type="expression" dxfId="575" priority="581">
      <formula>$C14&gt;$E$3</formula>
    </cfRule>
  </conditionalFormatting>
  <conditionalFormatting sqref="M14:M20 M32:M38 M41:M47 M23:M29">
    <cfRule type="expression" dxfId="574" priority="577">
      <formula>$C14&lt;$E$3</formula>
    </cfRule>
  </conditionalFormatting>
  <conditionalFormatting sqref="M14:M20 M32:M38 M41:M47 M23:M29">
    <cfRule type="expression" dxfId="573" priority="573">
      <formula>$C14=$E$3</formula>
    </cfRule>
    <cfRule type="expression" dxfId="572" priority="574">
      <formula>$C14&lt;$E$3</formula>
    </cfRule>
    <cfRule type="cellIs" dxfId="571" priority="575" operator="equal">
      <formula>0</formula>
    </cfRule>
    <cfRule type="expression" dxfId="570" priority="576">
      <formula>$C14&gt;$E$3</formula>
    </cfRule>
  </conditionalFormatting>
  <conditionalFormatting sqref="M14:M20 M32:M38 M41:M47 M23:M29">
    <cfRule type="expression" dxfId="569" priority="572">
      <formula>$C14&lt;$E$3</formula>
    </cfRule>
  </conditionalFormatting>
  <conditionalFormatting sqref="M14:M20 M32:M38 M41:M47 M23:M29">
    <cfRule type="expression" dxfId="568" priority="568">
      <formula>$C14=$E$3</formula>
    </cfRule>
    <cfRule type="expression" dxfId="567" priority="569">
      <formula>$C14&lt;$E$3</formula>
    </cfRule>
    <cfRule type="cellIs" dxfId="566" priority="570" operator="equal">
      <formula>0</formula>
    </cfRule>
    <cfRule type="expression" dxfId="565" priority="571">
      <formula>$C14&gt;$E$3</formula>
    </cfRule>
  </conditionalFormatting>
  <conditionalFormatting sqref="M14:M20 M32:M38 M41:M47 M23:M29">
    <cfRule type="expression" dxfId="564" priority="567">
      <formula>$E14=""</formula>
    </cfRule>
  </conditionalFormatting>
  <conditionalFormatting sqref="M14:M20 M32:M38 M41:M47 M23:M29">
    <cfRule type="expression" dxfId="563" priority="565">
      <formula>$E14=""</formula>
    </cfRule>
  </conditionalFormatting>
  <conditionalFormatting sqref="M32:M38 M41:M47 M14:M20 M23:M29">
    <cfRule type="expression" dxfId="562" priority="564">
      <formula>$E14=""</formula>
    </cfRule>
  </conditionalFormatting>
  <conditionalFormatting sqref="M14:M20 M32:M38 M41:M47 M23:M29">
    <cfRule type="expression" dxfId="561" priority="563">
      <formula>$C14&lt;$E$3</formula>
    </cfRule>
  </conditionalFormatting>
  <conditionalFormatting sqref="M14:M20 M32:M38 M41:M47 M23:M29">
    <cfRule type="expression" dxfId="560" priority="562">
      <formula>$E14=""</formula>
    </cfRule>
  </conditionalFormatting>
  <conditionalFormatting sqref="M14:M20 M32:M38 M41:M47 M23:M29">
    <cfRule type="expression" dxfId="559" priority="561">
      <formula>$C14&lt;$E$3</formula>
    </cfRule>
  </conditionalFormatting>
  <conditionalFormatting sqref="M14:M20 M32:M38 M41:M47 M23:M29">
    <cfRule type="expression" dxfId="558" priority="560">
      <formula>$E14=""</formula>
    </cfRule>
  </conditionalFormatting>
  <conditionalFormatting sqref="M14:M20 M32:M38 M41:M47 M23:M29">
    <cfRule type="expression" dxfId="557" priority="559">
      <formula>$C14&lt;$E$3</formula>
    </cfRule>
  </conditionalFormatting>
  <conditionalFormatting sqref="M14:M20 M32:M38 M41:M47 M23:M29">
    <cfRule type="expression" dxfId="556" priority="558">
      <formula>$E14=""</formula>
    </cfRule>
  </conditionalFormatting>
  <conditionalFormatting sqref="K37">
    <cfRule type="expression" dxfId="555" priority="263">
      <formula>$C37&lt;$E$3</formula>
    </cfRule>
  </conditionalFormatting>
  <conditionalFormatting sqref="K37">
    <cfRule type="expression" dxfId="554" priority="259">
      <formula>$C37=$E$3</formula>
    </cfRule>
    <cfRule type="expression" dxfId="553" priority="260">
      <formula>$C37&lt;$E$3</formula>
    </cfRule>
    <cfRule type="cellIs" dxfId="552" priority="261" operator="equal">
      <formula>0</formula>
    </cfRule>
    <cfRule type="expression" dxfId="551" priority="262">
      <formula>$C37&gt;$E$3</formula>
    </cfRule>
  </conditionalFormatting>
  <conditionalFormatting sqref="K37">
    <cfRule type="expression" dxfId="550" priority="258">
      <formula>$C37&lt;$E$3</formula>
    </cfRule>
  </conditionalFormatting>
  <conditionalFormatting sqref="K37">
    <cfRule type="expression" dxfId="549" priority="254">
      <formula>$C37=$E$3</formula>
    </cfRule>
    <cfRule type="expression" dxfId="548" priority="255">
      <formula>$C37&lt;$E$3</formula>
    </cfRule>
    <cfRule type="cellIs" dxfId="547" priority="256" operator="equal">
      <formula>0</formula>
    </cfRule>
    <cfRule type="expression" dxfId="546" priority="257">
      <formula>$C37&gt;$E$3</formula>
    </cfRule>
  </conditionalFormatting>
  <conditionalFormatting sqref="K37">
    <cfRule type="expression" dxfId="545" priority="233">
      <formula>$C37&lt;$E$3</formula>
    </cfRule>
  </conditionalFormatting>
  <conditionalFormatting sqref="K37">
    <cfRule type="expression" dxfId="544" priority="229">
      <formula>$C37=$E$3</formula>
    </cfRule>
    <cfRule type="expression" dxfId="543" priority="230">
      <formula>$C37&lt;$E$3</formula>
    </cfRule>
    <cfRule type="cellIs" dxfId="542" priority="231" operator="equal">
      <formula>0</formula>
    </cfRule>
    <cfRule type="expression" dxfId="541" priority="232">
      <formula>$C37&gt;$E$3</formula>
    </cfRule>
  </conditionalFormatting>
  <conditionalFormatting sqref="K37">
    <cfRule type="expression" dxfId="540" priority="228">
      <formula>$C37&lt;$E$3</formula>
    </cfRule>
  </conditionalFormatting>
  <conditionalFormatting sqref="K37">
    <cfRule type="expression" dxfId="539" priority="224">
      <formula>$C37=$E$3</formula>
    </cfRule>
    <cfRule type="expression" dxfId="538" priority="225">
      <formula>$C37&lt;$E$3</formula>
    </cfRule>
    <cfRule type="cellIs" dxfId="537" priority="226" operator="equal">
      <formula>0</formula>
    </cfRule>
    <cfRule type="expression" dxfId="536" priority="227">
      <formula>$C37&gt;$E$3</formula>
    </cfRule>
  </conditionalFormatting>
  <conditionalFormatting sqref="K32:K36">
    <cfRule type="expression" dxfId="535" priority="203">
      <formula>$C32&lt;$E$3</formula>
    </cfRule>
  </conditionalFormatting>
  <conditionalFormatting sqref="K32:K36">
    <cfRule type="expression" dxfId="534" priority="199">
      <formula>$C32=$E$3</formula>
    </cfRule>
    <cfRule type="expression" dxfId="533" priority="200">
      <formula>$C32&lt;$E$3</formula>
    </cfRule>
    <cfRule type="cellIs" dxfId="532" priority="201" operator="equal">
      <formula>0</formula>
    </cfRule>
    <cfRule type="expression" dxfId="531" priority="202">
      <formula>$C32&gt;$E$3</formula>
    </cfRule>
  </conditionalFormatting>
  <conditionalFormatting sqref="K32:K36">
    <cfRule type="expression" dxfId="530" priority="198">
      <formula>$C32&lt;$E$3</formula>
    </cfRule>
  </conditionalFormatting>
  <conditionalFormatting sqref="K32:K36">
    <cfRule type="expression" dxfId="529" priority="194">
      <formula>$C32=$E$3</formula>
    </cfRule>
    <cfRule type="expression" dxfId="528" priority="195">
      <formula>$C32&lt;$E$3</formula>
    </cfRule>
    <cfRule type="cellIs" dxfId="527" priority="196" operator="equal">
      <formula>0</formula>
    </cfRule>
    <cfRule type="expression" dxfId="526" priority="197">
      <formula>$C32&gt;$E$3</formula>
    </cfRule>
  </conditionalFormatting>
  <conditionalFormatting sqref="J39:N40">
    <cfRule type="expression" dxfId="525" priority="557">
      <formula>$L$40=0</formula>
    </cfRule>
  </conditionalFormatting>
  <conditionalFormatting sqref="K14:K20">
    <cfRule type="cellIs" dxfId="524" priority="556" stopIfTrue="1" operator="lessThan">
      <formula>0</formula>
    </cfRule>
  </conditionalFormatting>
  <conditionalFormatting sqref="K14:K20">
    <cfRule type="expression" dxfId="523" priority="554">
      <formula>$C14&lt;$E$3</formula>
    </cfRule>
  </conditionalFormatting>
  <conditionalFormatting sqref="K14:K20">
    <cfRule type="expression" dxfId="522" priority="551">
      <formula>$C14=$E$3</formula>
    </cfRule>
    <cfRule type="expression" dxfId="521" priority="552">
      <formula>$C14&lt;$E$3</formula>
    </cfRule>
    <cfRule type="cellIs" dxfId="520" priority="553" operator="equal">
      <formula>0</formula>
    </cfRule>
    <cfRule type="expression" dxfId="519" priority="555">
      <formula>$C14&gt;$E$3</formula>
    </cfRule>
  </conditionalFormatting>
  <conditionalFormatting sqref="K14:K20">
    <cfRule type="expression" dxfId="518" priority="550">
      <formula>$E14=""</formula>
    </cfRule>
  </conditionalFormatting>
  <conditionalFormatting sqref="K14:K20">
    <cfRule type="expression" dxfId="517" priority="549">
      <formula>$E14=""</formula>
    </cfRule>
  </conditionalFormatting>
  <conditionalFormatting sqref="K14:K20">
    <cfRule type="expression" dxfId="516" priority="548">
      <formula>$E14=""</formula>
    </cfRule>
  </conditionalFormatting>
  <conditionalFormatting sqref="K19">
    <cfRule type="expression" dxfId="515" priority="547">
      <formula>$C19&lt;$E$3</formula>
    </cfRule>
  </conditionalFormatting>
  <conditionalFormatting sqref="K19">
    <cfRule type="expression" dxfId="514" priority="543">
      <formula>$C19=$E$3</formula>
    </cfRule>
    <cfRule type="expression" dxfId="513" priority="544">
      <formula>$C19&lt;$E$3</formula>
    </cfRule>
    <cfRule type="cellIs" dxfId="512" priority="545" operator="equal">
      <formula>0</formula>
    </cfRule>
    <cfRule type="expression" dxfId="511" priority="546">
      <formula>$C19&gt;$E$3</formula>
    </cfRule>
  </conditionalFormatting>
  <conditionalFormatting sqref="K19">
    <cfRule type="expression" dxfId="510" priority="542">
      <formula>$C19&lt;$E$3</formula>
    </cfRule>
  </conditionalFormatting>
  <conditionalFormatting sqref="K19">
    <cfRule type="expression" dxfId="509" priority="538">
      <formula>$C19=$E$3</formula>
    </cfRule>
    <cfRule type="expression" dxfId="508" priority="539">
      <formula>$C19&lt;$E$3</formula>
    </cfRule>
    <cfRule type="cellIs" dxfId="507" priority="540" operator="equal">
      <formula>0</formula>
    </cfRule>
    <cfRule type="expression" dxfId="506" priority="541">
      <formula>$C19&gt;$E$3</formula>
    </cfRule>
  </conditionalFormatting>
  <conditionalFormatting sqref="K19">
    <cfRule type="expression" dxfId="505" priority="537">
      <formula>$C19&lt;$E$3</formula>
    </cfRule>
  </conditionalFormatting>
  <conditionalFormatting sqref="K19">
    <cfRule type="expression" dxfId="504" priority="533">
      <formula>$C19=$E$3</formula>
    </cfRule>
    <cfRule type="expression" dxfId="503" priority="534">
      <formula>$C19&lt;$E$3</formula>
    </cfRule>
    <cfRule type="cellIs" dxfId="502" priority="535" operator="equal">
      <formula>0</formula>
    </cfRule>
    <cfRule type="expression" dxfId="501" priority="536">
      <formula>$C19&gt;$E$3</formula>
    </cfRule>
  </conditionalFormatting>
  <conditionalFormatting sqref="K19">
    <cfRule type="expression" dxfId="500" priority="532">
      <formula>$C19&lt;$E$3</formula>
    </cfRule>
  </conditionalFormatting>
  <conditionalFormatting sqref="K19">
    <cfRule type="expression" dxfId="499" priority="528">
      <formula>$C19=$E$3</formula>
    </cfRule>
    <cfRule type="expression" dxfId="498" priority="529">
      <formula>$C19&lt;$E$3</formula>
    </cfRule>
    <cfRule type="cellIs" dxfId="497" priority="530" operator="equal">
      <formula>0</formula>
    </cfRule>
    <cfRule type="expression" dxfId="496" priority="531">
      <formula>$C19&gt;$E$3</formula>
    </cfRule>
  </conditionalFormatting>
  <conditionalFormatting sqref="K19">
    <cfRule type="expression" dxfId="495" priority="527">
      <formula>$E19=""</formula>
    </cfRule>
  </conditionalFormatting>
  <conditionalFormatting sqref="K19">
    <cfRule type="expression" dxfId="494" priority="526">
      <formula>$C19&lt;$E$3</formula>
    </cfRule>
  </conditionalFormatting>
  <conditionalFormatting sqref="K19">
    <cfRule type="expression" dxfId="493" priority="525">
      <formula>$E19=""</formula>
    </cfRule>
  </conditionalFormatting>
  <conditionalFormatting sqref="K19">
    <cfRule type="expression" dxfId="492" priority="524">
      <formula>$E19=""</formula>
    </cfRule>
  </conditionalFormatting>
  <conditionalFormatting sqref="K19">
    <cfRule type="expression" dxfId="491" priority="523">
      <formula>$C19&lt;$E$3</formula>
    </cfRule>
  </conditionalFormatting>
  <conditionalFormatting sqref="K19">
    <cfRule type="expression" dxfId="490" priority="522">
      <formula>$E19=""</formula>
    </cfRule>
  </conditionalFormatting>
  <conditionalFormatting sqref="K19">
    <cfRule type="expression" dxfId="489" priority="521">
      <formula>$C19&lt;$E$3</formula>
    </cfRule>
  </conditionalFormatting>
  <conditionalFormatting sqref="K19">
    <cfRule type="expression" dxfId="488" priority="520">
      <formula>$E19=""</formula>
    </cfRule>
  </conditionalFormatting>
  <conditionalFormatting sqref="K19">
    <cfRule type="expression" dxfId="487" priority="518">
      <formula>$E19=""</formula>
    </cfRule>
  </conditionalFormatting>
  <conditionalFormatting sqref="K19">
    <cfRule type="expression" dxfId="486" priority="517">
      <formula>$C19&lt;$E$3</formula>
    </cfRule>
  </conditionalFormatting>
  <conditionalFormatting sqref="K19">
    <cfRule type="expression" dxfId="485" priority="513">
      <formula>$C19=$E$3</formula>
    </cfRule>
    <cfRule type="expression" dxfId="484" priority="514">
      <formula>$C19&lt;$E$3</formula>
    </cfRule>
    <cfRule type="cellIs" dxfId="483" priority="515" operator="equal">
      <formula>0</formula>
    </cfRule>
    <cfRule type="expression" dxfId="482" priority="516">
      <formula>$C19&gt;$E$3</formula>
    </cfRule>
  </conditionalFormatting>
  <conditionalFormatting sqref="K19">
    <cfRule type="expression" dxfId="481" priority="512">
      <formula>$C19&lt;$E$3</formula>
    </cfRule>
  </conditionalFormatting>
  <conditionalFormatting sqref="K19">
    <cfRule type="expression" dxfId="480" priority="508">
      <formula>$C19=$E$3</formula>
    </cfRule>
    <cfRule type="expression" dxfId="479" priority="509">
      <formula>$C19&lt;$E$3</formula>
    </cfRule>
    <cfRule type="cellIs" dxfId="478" priority="510" operator="equal">
      <formula>0</formula>
    </cfRule>
    <cfRule type="expression" dxfId="477" priority="511">
      <formula>$C19&gt;$E$3</formula>
    </cfRule>
  </conditionalFormatting>
  <conditionalFormatting sqref="K19">
    <cfRule type="expression" dxfId="476" priority="507">
      <formula>$C19&lt;$E$3</formula>
    </cfRule>
  </conditionalFormatting>
  <conditionalFormatting sqref="K19">
    <cfRule type="expression" dxfId="475" priority="503">
      <formula>$C19=$E$3</formula>
    </cfRule>
    <cfRule type="expression" dxfId="474" priority="504">
      <formula>$C19&lt;$E$3</formula>
    </cfRule>
    <cfRule type="cellIs" dxfId="473" priority="505" operator="equal">
      <formula>0</formula>
    </cfRule>
    <cfRule type="expression" dxfId="472" priority="506">
      <formula>$C19&gt;$E$3</formula>
    </cfRule>
  </conditionalFormatting>
  <conditionalFormatting sqref="K19">
    <cfRule type="expression" dxfId="471" priority="502">
      <formula>$C19&lt;$E$3</formula>
    </cfRule>
  </conditionalFormatting>
  <conditionalFormatting sqref="K19">
    <cfRule type="expression" dxfId="470" priority="498">
      <formula>$C19=$E$3</formula>
    </cfRule>
    <cfRule type="expression" dxfId="469" priority="499">
      <formula>$C19&lt;$E$3</formula>
    </cfRule>
    <cfRule type="cellIs" dxfId="468" priority="500" operator="equal">
      <formula>0</formula>
    </cfRule>
    <cfRule type="expression" dxfId="467" priority="501">
      <formula>$C19&gt;$E$3</formula>
    </cfRule>
  </conditionalFormatting>
  <conditionalFormatting sqref="K19">
    <cfRule type="expression" dxfId="466" priority="497">
      <formula>$E19=""</formula>
    </cfRule>
  </conditionalFormatting>
  <conditionalFormatting sqref="K19">
    <cfRule type="expression" dxfId="465" priority="496">
      <formula>$C19&lt;$E$3</formula>
    </cfRule>
  </conditionalFormatting>
  <conditionalFormatting sqref="K19">
    <cfRule type="expression" dxfId="464" priority="495">
      <formula>$E19=""</formula>
    </cfRule>
  </conditionalFormatting>
  <conditionalFormatting sqref="K19">
    <cfRule type="expression" dxfId="463" priority="494">
      <formula>$E19=""</formula>
    </cfRule>
  </conditionalFormatting>
  <conditionalFormatting sqref="K19">
    <cfRule type="expression" dxfId="462" priority="493">
      <formula>$C19&lt;$E$3</formula>
    </cfRule>
  </conditionalFormatting>
  <conditionalFormatting sqref="K19">
    <cfRule type="expression" dxfId="461" priority="492">
      <formula>$E19=""</formula>
    </cfRule>
  </conditionalFormatting>
  <conditionalFormatting sqref="K19">
    <cfRule type="expression" dxfId="460" priority="491">
      <formula>$C19&lt;$E$3</formula>
    </cfRule>
  </conditionalFormatting>
  <conditionalFormatting sqref="K19">
    <cfRule type="expression" dxfId="459" priority="490">
      <formula>$E19=""</formula>
    </cfRule>
  </conditionalFormatting>
  <conditionalFormatting sqref="K19">
    <cfRule type="expression" dxfId="458" priority="488">
      <formula>$E19=""</formula>
    </cfRule>
  </conditionalFormatting>
  <conditionalFormatting sqref="K14:K18">
    <cfRule type="expression" dxfId="457" priority="487">
      <formula>$C14&lt;$E$3</formula>
    </cfRule>
  </conditionalFormatting>
  <conditionalFormatting sqref="K14:K18">
    <cfRule type="expression" dxfId="456" priority="483">
      <formula>$C14=$E$3</formula>
    </cfRule>
    <cfRule type="expression" dxfId="455" priority="484">
      <formula>$C14&lt;$E$3</formula>
    </cfRule>
    <cfRule type="cellIs" dxfId="454" priority="485" operator="equal">
      <formula>0</formula>
    </cfRule>
    <cfRule type="expression" dxfId="453" priority="486">
      <formula>$C14&gt;$E$3</formula>
    </cfRule>
  </conditionalFormatting>
  <conditionalFormatting sqref="K14:K18">
    <cfRule type="expression" dxfId="452" priority="482">
      <formula>$C14&lt;$E$3</formula>
    </cfRule>
  </conditionalFormatting>
  <conditionalFormatting sqref="K14:K18">
    <cfRule type="expression" dxfId="451" priority="478">
      <formula>$C14=$E$3</formula>
    </cfRule>
    <cfRule type="expression" dxfId="450" priority="479">
      <formula>$C14&lt;$E$3</formula>
    </cfRule>
    <cfRule type="cellIs" dxfId="449" priority="480" operator="equal">
      <formula>0</formula>
    </cfRule>
    <cfRule type="expression" dxfId="448" priority="481">
      <formula>$C14&gt;$E$3</formula>
    </cfRule>
  </conditionalFormatting>
  <conditionalFormatting sqref="K14:K18">
    <cfRule type="expression" dxfId="447" priority="477">
      <formula>$C14&lt;$E$3</formula>
    </cfRule>
  </conditionalFormatting>
  <conditionalFormatting sqref="K14:K18">
    <cfRule type="expression" dxfId="446" priority="473">
      <formula>$C14=$E$3</formula>
    </cfRule>
    <cfRule type="expression" dxfId="445" priority="474">
      <formula>$C14&lt;$E$3</formula>
    </cfRule>
    <cfRule type="cellIs" dxfId="444" priority="475" operator="equal">
      <formula>0</formula>
    </cfRule>
    <cfRule type="expression" dxfId="443" priority="476">
      <formula>$C14&gt;$E$3</formula>
    </cfRule>
  </conditionalFormatting>
  <conditionalFormatting sqref="K14:K18">
    <cfRule type="expression" dxfId="442" priority="472">
      <formula>$C14&lt;$E$3</formula>
    </cfRule>
  </conditionalFormatting>
  <conditionalFormatting sqref="K14:K18">
    <cfRule type="expression" dxfId="441" priority="468">
      <formula>$C14=$E$3</formula>
    </cfRule>
    <cfRule type="expression" dxfId="440" priority="469">
      <formula>$C14&lt;$E$3</formula>
    </cfRule>
    <cfRule type="cellIs" dxfId="439" priority="470" operator="equal">
      <formula>0</formula>
    </cfRule>
    <cfRule type="expression" dxfId="438" priority="471">
      <formula>$C14&gt;$E$3</formula>
    </cfRule>
  </conditionalFormatting>
  <conditionalFormatting sqref="K14:K18">
    <cfRule type="expression" dxfId="437" priority="467">
      <formula>$E14=""</formula>
    </cfRule>
  </conditionalFormatting>
  <conditionalFormatting sqref="K14:K18">
    <cfRule type="expression" dxfId="436" priority="466">
      <formula>$C14&lt;$E$3</formula>
    </cfRule>
  </conditionalFormatting>
  <conditionalFormatting sqref="K14:K18">
    <cfRule type="expression" dxfId="435" priority="465">
      <formula>$E14=""</formula>
    </cfRule>
  </conditionalFormatting>
  <conditionalFormatting sqref="K14:K18">
    <cfRule type="expression" dxfId="434" priority="464">
      <formula>$E14=""</formula>
    </cfRule>
  </conditionalFormatting>
  <conditionalFormatting sqref="K14:K18">
    <cfRule type="expression" dxfId="433" priority="463">
      <formula>$C14&lt;$E$3</formula>
    </cfRule>
  </conditionalFormatting>
  <conditionalFormatting sqref="K14:K18">
    <cfRule type="expression" dxfId="432" priority="462">
      <formula>$E14=""</formula>
    </cfRule>
  </conditionalFormatting>
  <conditionalFormatting sqref="K14:K18">
    <cfRule type="expression" dxfId="431" priority="461">
      <formula>$C14&lt;$E$3</formula>
    </cfRule>
  </conditionalFormatting>
  <conditionalFormatting sqref="K14:K18">
    <cfRule type="expression" dxfId="430" priority="460">
      <formula>$E14=""</formula>
    </cfRule>
  </conditionalFormatting>
  <conditionalFormatting sqref="K14:K18">
    <cfRule type="expression" dxfId="429" priority="458">
      <formula>$E14=""</formula>
    </cfRule>
  </conditionalFormatting>
  <conditionalFormatting sqref="K14:K18">
    <cfRule type="expression" dxfId="428" priority="457">
      <formula>$C14&lt;$E$3</formula>
    </cfRule>
  </conditionalFormatting>
  <conditionalFormatting sqref="K14:K18">
    <cfRule type="expression" dxfId="427" priority="453">
      <formula>$C14=$E$3</formula>
    </cfRule>
    <cfRule type="expression" dxfId="426" priority="454">
      <formula>$C14&lt;$E$3</formula>
    </cfRule>
    <cfRule type="cellIs" dxfId="425" priority="455" operator="equal">
      <formula>0</formula>
    </cfRule>
    <cfRule type="expression" dxfId="424" priority="456">
      <formula>$C14&gt;$E$3</formula>
    </cfRule>
  </conditionalFormatting>
  <conditionalFormatting sqref="K14:K18">
    <cfRule type="expression" dxfId="423" priority="452">
      <formula>$C14&lt;$E$3</formula>
    </cfRule>
  </conditionalFormatting>
  <conditionalFormatting sqref="K14:K18">
    <cfRule type="expression" dxfId="422" priority="448">
      <formula>$C14=$E$3</formula>
    </cfRule>
    <cfRule type="expression" dxfId="421" priority="449">
      <formula>$C14&lt;$E$3</formula>
    </cfRule>
    <cfRule type="cellIs" dxfId="420" priority="450" operator="equal">
      <formula>0</formula>
    </cfRule>
    <cfRule type="expression" dxfId="419" priority="451">
      <formula>$C14&gt;$E$3</formula>
    </cfRule>
  </conditionalFormatting>
  <conditionalFormatting sqref="K14:K18">
    <cfRule type="expression" dxfId="418" priority="447">
      <formula>$C14&lt;$E$3</formula>
    </cfRule>
  </conditionalFormatting>
  <conditionalFormatting sqref="K14:K18">
    <cfRule type="expression" dxfId="417" priority="443">
      <formula>$C14=$E$3</formula>
    </cfRule>
    <cfRule type="expression" dxfId="416" priority="444">
      <formula>$C14&lt;$E$3</formula>
    </cfRule>
    <cfRule type="cellIs" dxfId="415" priority="445" operator="equal">
      <formula>0</formula>
    </cfRule>
    <cfRule type="expression" dxfId="414" priority="446">
      <formula>$C14&gt;$E$3</formula>
    </cfRule>
  </conditionalFormatting>
  <conditionalFormatting sqref="K14:K18">
    <cfRule type="expression" dxfId="413" priority="442">
      <formula>$C14&lt;$E$3</formula>
    </cfRule>
  </conditionalFormatting>
  <conditionalFormatting sqref="K14:K18">
    <cfRule type="expression" dxfId="412" priority="438">
      <formula>$C14=$E$3</formula>
    </cfRule>
    <cfRule type="expression" dxfId="411" priority="439">
      <formula>$C14&lt;$E$3</formula>
    </cfRule>
    <cfRule type="cellIs" dxfId="410" priority="440" operator="equal">
      <formula>0</formula>
    </cfRule>
    <cfRule type="expression" dxfId="409" priority="441">
      <formula>$C14&gt;$E$3</formula>
    </cfRule>
  </conditionalFormatting>
  <conditionalFormatting sqref="K14:K18">
    <cfRule type="expression" dxfId="408" priority="437">
      <formula>$E14=""</formula>
    </cfRule>
  </conditionalFormatting>
  <conditionalFormatting sqref="K14:K18">
    <cfRule type="expression" dxfId="407" priority="436">
      <formula>$C14&lt;$E$3</formula>
    </cfRule>
  </conditionalFormatting>
  <conditionalFormatting sqref="K14:K18">
    <cfRule type="expression" dxfId="406" priority="435">
      <formula>$E14=""</formula>
    </cfRule>
  </conditionalFormatting>
  <conditionalFormatting sqref="K14:K18">
    <cfRule type="expression" dxfId="405" priority="434">
      <formula>$E14=""</formula>
    </cfRule>
  </conditionalFormatting>
  <conditionalFormatting sqref="K14:K18">
    <cfRule type="expression" dxfId="404" priority="433">
      <formula>$C14&lt;$E$3</formula>
    </cfRule>
  </conditionalFormatting>
  <conditionalFormatting sqref="K14:K18">
    <cfRule type="expression" dxfId="403" priority="432">
      <formula>$E14=""</formula>
    </cfRule>
  </conditionalFormatting>
  <conditionalFormatting sqref="K14:K18">
    <cfRule type="expression" dxfId="402" priority="431">
      <formula>$C14&lt;$E$3</formula>
    </cfRule>
  </conditionalFormatting>
  <conditionalFormatting sqref="K14:K18">
    <cfRule type="expression" dxfId="401" priority="430">
      <formula>$E14=""</formula>
    </cfRule>
  </conditionalFormatting>
  <conditionalFormatting sqref="K14:K18">
    <cfRule type="expression" dxfId="400" priority="428">
      <formula>$E14=""</formula>
    </cfRule>
  </conditionalFormatting>
  <conditionalFormatting sqref="K14:K20">
    <cfRule type="expression" dxfId="399" priority="426">
      <formula>$C14&lt;$E$3</formula>
    </cfRule>
  </conditionalFormatting>
  <conditionalFormatting sqref="K14:K20">
    <cfRule type="expression" dxfId="398" priority="423">
      <formula>$C14=$E$3</formula>
    </cfRule>
    <cfRule type="expression" dxfId="397" priority="424">
      <formula>$C14&lt;$E$3</formula>
    </cfRule>
    <cfRule type="cellIs" dxfId="396" priority="425" operator="equal">
      <formula>0</formula>
    </cfRule>
    <cfRule type="expression" dxfId="395" priority="427">
      <formula>$C14&gt;$E$3</formula>
    </cfRule>
  </conditionalFormatting>
  <conditionalFormatting sqref="K14:K20">
    <cfRule type="expression" dxfId="394" priority="422">
      <formula>$E14=""</formula>
    </cfRule>
  </conditionalFormatting>
  <conditionalFormatting sqref="K14:K20">
    <cfRule type="expression" dxfId="393" priority="421">
      <formula>$E14=""</formula>
    </cfRule>
  </conditionalFormatting>
  <conditionalFormatting sqref="K14:K20">
    <cfRule type="expression" dxfId="392" priority="420">
      <formula>$E14=""</formula>
    </cfRule>
  </conditionalFormatting>
  <conditionalFormatting sqref="K23:K29">
    <cfRule type="cellIs" dxfId="391" priority="419" stopIfTrue="1" operator="lessThan">
      <formula>0</formula>
    </cfRule>
  </conditionalFormatting>
  <conditionalFormatting sqref="K23:K29">
    <cfRule type="expression" dxfId="390" priority="417">
      <formula>$C23&lt;$E$3</formula>
    </cfRule>
  </conditionalFormatting>
  <conditionalFormatting sqref="K23:K29">
    <cfRule type="expression" dxfId="389" priority="414">
      <formula>$C23=$E$3</formula>
    </cfRule>
    <cfRule type="expression" dxfId="388" priority="415">
      <formula>$C23&lt;$E$3</formula>
    </cfRule>
    <cfRule type="cellIs" dxfId="387" priority="416" operator="equal">
      <formula>0</formula>
    </cfRule>
    <cfRule type="expression" dxfId="386" priority="418">
      <formula>$C23&gt;$E$3</formula>
    </cfRule>
  </conditionalFormatting>
  <conditionalFormatting sqref="K23:K29">
    <cfRule type="expression" dxfId="385" priority="413">
      <formula>$E23=""</formula>
    </cfRule>
  </conditionalFormatting>
  <conditionalFormatting sqref="K23:K29">
    <cfRule type="expression" dxfId="384" priority="412">
      <formula>$E23=""</formula>
    </cfRule>
  </conditionalFormatting>
  <conditionalFormatting sqref="K23:K29">
    <cfRule type="expression" dxfId="383" priority="411">
      <formula>$E23=""</formula>
    </cfRule>
  </conditionalFormatting>
  <conditionalFormatting sqref="K28">
    <cfRule type="expression" dxfId="382" priority="410">
      <formula>$C28&lt;$E$3</formula>
    </cfRule>
  </conditionalFormatting>
  <conditionalFormatting sqref="K28">
    <cfRule type="expression" dxfId="381" priority="406">
      <formula>$C28=$E$3</formula>
    </cfRule>
    <cfRule type="expression" dxfId="380" priority="407">
      <formula>$C28&lt;$E$3</formula>
    </cfRule>
    <cfRule type="cellIs" dxfId="379" priority="408" operator="equal">
      <formula>0</formula>
    </cfRule>
    <cfRule type="expression" dxfId="378" priority="409">
      <formula>$C28&gt;$E$3</formula>
    </cfRule>
  </conditionalFormatting>
  <conditionalFormatting sqref="K28">
    <cfRule type="expression" dxfId="377" priority="405">
      <formula>$C28&lt;$E$3</formula>
    </cfRule>
  </conditionalFormatting>
  <conditionalFormatting sqref="K28">
    <cfRule type="expression" dxfId="376" priority="401">
      <formula>$C28=$E$3</formula>
    </cfRule>
    <cfRule type="expression" dxfId="375" priority="402">
      <formula>$C28&lt;$E$3</formula>
    </cfRule>
    <cfRule type="cellIs" dxfId="374" priority="403" operator="equal">
      <formula>0</formula>
    </cfRule>
    <cfRule type="expression" dxfId="373" priority="404">
      <formula>$C28&gt;$E$3</formula>
    </cfRule>
  </conditionalFormatting>
  <conditionalFormatting sqref="K28">
    <cfRule type="expression" dxfId="372" priority="400">
      <formula>$C28&lt;$E$3</formula>
    </cfRule>
  </conditionalFormatting>
  <conditionalFormatting sqref="K28">
    <cfRule type="expression" dxfId="371" priority="396">
      <formula>$C28=$E$3</formula>
    </cfRule>
    <cfRule type="expression" dxfId="370" priority="397">
      <formula>$C28&lt;$E$3</formula>
    </cfRule>
    <cfRule type="cellIs" dxfId="369" priority="398" operator="equal">
      <formula>0</formula>
    </cfRule>
    <cfRule type="expression" dxfId="368" priority="399">
      <formula>$C28&gt;$E$3</formula>
    </cfRule>
  </conditionalFormatting>
  <conditionalFormatting sqref="K28">
    <cfRule type="expression" dxfId="367" priority="395">
      <formula>$C28&lt;$E$3</formula>
    </cfRule>
  </conditionalFormatting>
  <conditionalFormatting sqref="K28">
    <cfRule type="expression" dxfId="366" priority="391">
      <formula>$C28=$E$3</formula>
    </cfRule>
    <cfRule type="expression" dxfId="365" priority="392">
      <formula>$C28&lt;$E$3</formula>
    </cfRule>
    <cfRule type="cellIs" dxfId="364" priority="393" operator="equal">
      <formula>0</formula>
    </cfRule>
    <cfRule type="expression" dxfId="363" priority="394">
      <formula>$C28&gt;$E$3</formula>
    </cfRule>
  </conditionalFormatting>
  <conditionalFormatting sqref="K28">
    <cfRule type="expression" dxfId="362" priority="390">
      <formula>$E28=""</formula>
    </cfRule>
  </conditionalFormatting>
  <conditionalFormatting sqref="K28">
    <cfRule type="expression" dxfId="361" priority="389">
      <formula>$C28&lt;$E$3</formula>
    </cfRule>
  </conditionalFormatting>
  <conditionalFormatting sqref="K28">
    <cfRule type="expression" dxfId="360" priority="388">
      <formula>$E28=""</formula>
    </cfRule>
  </conditionalFormatting>
  <conditionalFormatting sqref="K28">
    <cfRule type="expression" dxfId="359" priority="387">
      <formula>$E28=""</formula>
    </cfRule>
  </conditionalFormatting>
  <conditionalFormatting sqref="K28">
    <cfRule type="expression" dxfId="358" priority="386">
      <formula>$C28&lt;$E$3</formula>
    </cfRule>
  </conditionalFormatting>
  <conditionalFormatting sqref="K28">
    <cfRule type="expression" dxfId="357" priority="385">
      <formula>$E28=""</formula>
    </cfRule>
  </conditionalFormatting>
  <conditionalFormatting sqref="K28">
    <cfRule type="expression" dxfId="356" priority="384">
      <formula>$C28&lt;$E$3</formula>
    </cfRule>
  </conditionalFormatting>
  <conditionalFormatting sqref="K28">
    <cfRule type="expression" dxfId="355" priority="383">
      <formula>$E28=""</formula>
    </cfRule>
  </conditionalFormatting>
  <conditionalFormatting sqref="K28">
    <cfRule type="expression" dxfId="354" priority="381">
      <formula>$E28=""</formula>
    </cfRule>
  </conditionalFormatting>
  <conditionalFormatting sqref="K28">
    <cfRule type="expression" dxfId="353" priority="380">
      <formula>$C28&lt;$E$3</formula>
    </cfRule>
  </conditionalFormatting>
  <conditionalFormatting sqref="K28">
    <cfRule type="expression" dxfId="352" priority="376">
      <formula>$C28=$E$3</formula>
    </cfRule>
    <cfRule type="expression" dxfId="351" priority="377">
      <formula>$C28&lt;$E$3</formula>
    </cfRule>
    <cfRule type="cellIs" dxfId="350" priority="378" operator="equal">
      <formula>0</formula>
    </cfRule>
    <cfRule type="expression" dxfId="349" priority="379">
      <formula>$C28&gt;$E$3</formula>
    </cfRule>
  </conditionalFormatting>
  <conditionalFormatting sqref="K28">
    <cfRule type="expression" dxfId="348" priority="375">
      <formula>$C28&lt;$E$3</formula>
    </cfRule>
  </conditionalFormatting>
  <conditionalFormatting sqref="K28">
    <cfRule type="expression" dxfId="347" priority="371">
      <formula>$C28=$E$3</formula>
    </cfRule>
    <cfRule type="expression" dxfId="346" priority="372">
      <formula>$C28&lt;$E$3</formula>
    </cfRule>
    <cfRule type="cellIs" dxfId="345" priority="373" operator="equal">
      <formula>0</formula>
    </cfRule>
    <cfRule type="expression" dxfId="344" priority="374">
      <formula>$C28&gt;$E$3</formula>
    </cfRule>
  </conditionalFormatting>
  <conditionalFormatting sqref="K28">
    <cfRule type="expression" dxfId="343" priority="370">
      <formula>$C28&lt;$E$3</formula>
    </cfRule>
  </conditionalFormatting>
  <conditionalFormatting sqref="K28">
    <cfRule type="expression" dxfId="342" priority="366">
      <formula>$C28=$E$3</formula>
    </cfRule>
    <cfRule type="expression" dxfId="341" priority="367">
      <formula>$C28&lt;$E$3</formula>
    </cfRule>
    <cfRule type="cellIs" dxfId="340" priority="368" operator="equal">
      <formula>0</formula>
    </cfRule>
    <cfRule type="expression" dxfId="339" priority="369">
      <formula>$C28&gt;$E$3</formula>
    </cfRule>
  </conditionalFormatting>
  <conditionalFormatting sqref="K28">
    <cfRule type="expression" dxfId="338" priority="365">
      <formula>$C28&lt;$E$3</formula>
    </cfRule>
  </conditionalFormatting>
  <conditionalFormatting sqref="K28">
    <cfRule type="expression" dxfId="337" priority="361">
      <formula>$C28=$E$3</formula>
    </cfRule>
    <cfRule type="expression" dxfId="336" priority="362">
      <formula>$C28&lt;$E$3</formula>
    </cfRule>
    <cfRule type="cellIs" dxfId="335" priority="363" operator="equal">
      <formula>0</formula>
    </cfRule>
    <cfRule type="expression" dxfId="334" priority="364">
      <formula>$C28&gt;$E$3</formula>
    </cfRule>
  </conditionalFormatting>
  <conditionalFormatting sqref="K28">
    <cfRule type="expression" dxfId="333" priority="360">
      <formula>$E28=""</formula>
    </cfRule>
  </conditionalFormatting>
  <conditionalFormatting sqref="K28">
    <cfRule type="expression" dxfId="332" priority="359">
      <formula>$C28&lt;$E$3</formula>
    </cfRule>
  </conditionalFormatting>
  <conditionalFormatting sqref="K28">
    <cfRule type="expression" dxfId="331" priority="358">
      <formula>$E28=""</formula>
    </cfRule>
  </conditionalFormatting>
  <conditionalFormatting sqref="K28">
    <cfRule type="expression" dxfId="330" priority="357">
      <formula>$E28=""</formula>
    </cfRule>
  </conditionalFormatting>
  <conditionalFormatting sqref="K28">
    <cfRule type="expression" dxfId="329" priority="356">
      <formula>$C28&lt;$E$3</formula>
    </cfRule>
  </conditionalFormatting>
  <conditionalFormatting sqref="K28">
    <cfRule type="expression" dxfId="328" priority="355">
      <formula>$E28=""</formula>
    </cfRule>
  </conditionalFormatting>
  <conditionalFormatting sqref="K28">
    <cfRule type="expression" dxfId="327" priority="354">
      <formula>$C28&lt;$E$3</formula>
    </cfRule>
  </conditionalFormatting>
  <conditionalFormatting sqref="K28">
    <cfRule type="expression" dxfId="326" priority="353">
      <formula>$E28=""</formula>
    </cfRule>
  </conditionalFormatting>
  <conditionalFormatting sqref="K28">
    <cfRule type="expression" dxfId="325" priority="351">
      <formula>$E28=""</formula>
    </cfRule>
  </conditionalFormatting>
  <conditionalFormatting sqref="K23:K27">
    <cfRule type="expression" dxfId="324" priority="350">
      <formula>$C23&lt;$E$3</formula>
    </cfRule>
  </conditionalFormatting>
  <conditionalFormatting sqref="K23:K27">
    <cfRule type="expression" dxfId="323" priority="346">
      <formula>$C23=$E$3</formula>
    </cfRule>
    <cfRule type="expression" dxfId="322" priority="347">
      <formula>$C23&lt;$E$3</formula>
    </cfRule>
    <cfRule type="cellIs" dxfId="321" priority="348" operator="equal">
      <formula>0</formula>
    </cfRule>
    <cfRule type="expression" dxfId="320" priority="349">
      <formula>$C23&gt;$E$3</formula>
    </cfRule>
  </conditionalFormatting>
  <conditionalFormatting sqref="K23:K27">
    <cfRule type="expression" dxfId="319" priority="345">
      <formula>$C23&lt;$E$3</formula>
    </cfRule>
  </conditionalFormatting>
  <conditionalFormatting sqref="K23:K27">
    <cfRule type="expression" dxfId="318" priority="341">
      <formula>$C23=$E$3</formula>
    </cfRule>
    <cfRule type="expression" dxfId="317" priority="342">
      <formula>$C23&lt;$E$3</formula>
    </cfRule>
    <cfRule type="cellIs" dxfId="316" priority="343" operator="equal">
      <formula>0</formula>
    </cfRule>
    <cfRule type="expression" dxfId="315" priority="344">
      <formula>$C23&gt;$E$3</formula>
    </cfRule>
  </conditionalFormatting>
  <conditionalFormatting sqref="K23:K27">
    <cfRule type="expression" dxfId="314" priority="340">
      <formula>$C23&lt;$E$3</formula>
    </cfRule>
  </conditionalFormatting>
  <conditionalFormatting sqref="K23:K27">
    <cfRule type="expression" dxfId="313" priority="336">
      <formula>$C23=$E$3</formula>
    </cfRule>
    <cfRule type="expression" dxfId="312" priority="337">
      <formula>$C23&lt;$E$3</formula>
    </cfRule>
    <cfRule type="cellIs" dxfId="311" priority="338" operator="equal">
      <formula>0</formula>
    </cfRule>
    <cfRule type="expression" dxfId="310" priority="339">
      <formula>$C23&gt;$E$3</formula>
    </cfRule>
  </conditionalFormatting>
  <conditionalFormatting sqref="K23:K27">
    <cfRule type="expression" dxfId="309" priority="335">
      <formula>$C23&lt;$E$3</formula>
    </cfRule>
  </conditionalFormatting>
  <conditionalFormatting sqref="K23:K27">
    <cfRule type="expression" dxfId="308" priority="331">
      <formula>$C23=$E$3</formula>
    </cfRule>
    <cfRule type="expression" dxfId="307" priority="332">
      <formula>$C23&lt;$E$3</formula>
    </cfRule>
    <cfRule type="cellIs" dxfId="306" priority="333" operator="equal">
      <formula>0</formula>
    </cfRule>
    <cfRule type="expression" dxfId="305" priority="334">
      <formula>$C23&gt;$E$3</formula>
    </cfRule>
  </conditionalFormatting>
  <conditionalFormatting sqref="K23:K27">
    <cfRule type="expression" dxfId="304" priority="330">
      <formula>$E23=""</formula>
    </cfRule>
  </conditionalFormatting>
  <conditionalFormatting sqref="K23:K27">
    <cfRule type="expression" dxfId="303" priority="329">
      <formula>$C23&lt;$E$3</formula>
    </cfRule>
  </conditionalFormatting>
  <conditionalFormatting sqref="K23:K27">
    <cfRule type="expression" dxfId="302" priority="328">
      <formula>$E23=""</formula>
    </cfRule>
  </conditionalFormatting>
  <conditionalFormatting sqref="K23:K27">
    <cfRule type="expression" dxfId="301" priority="327">
      <formula>$E23=""</formula>
    </cfRule>
  </conditionalFormatting>
  <conditionalFormatting sqref="K23:K27">
    <cfRule type="expression" dxfId="300" priority="326">
      <formula>$C23&lt;$E$3</formula>
    </cfRule>
  </conditionalFormatting>
  <conditionalFormatting sqref="K23:K27">
    <cfRule type="expression" dxfId="299" priority="325">
      <formula>$E23=""</formula>
    </cfRule>
  </conditionalFormatting>
  <conditionalFormatting sqref="K23:K27">
    <cfRule type="expression" dxfId="298" priority="324">
      <formula>$C23&lt;$E$3</formula>
    </cfRule>
  </conditionalFormatting>
  <conditionalFormatting sqref="K23:K27">
    <cfRule type="expression" dxfId="297" priority="323">
      <formula>$E23=""</formula>
    </cfRule>
  </conditionalFormatting>
  <conditionalFormatting sqref="K23:K27">
    <cfRule type="expression" dxfId="296" priority="321">
      <formula>$E23=""</formula>
    </cfRule>
  </conditionalFormatting>
  <conditionalFormatting sqref="K23:K27">
    <cfRule type="expression" dxfId="295" priority="320">
      <formula>$C23&lt;$E$3</formula>
    </cfRule>
  </conditionalFormatting>
  <conditionalFormatting sqref="K23:K27">
    <cfRule type="expression" dxfId="294" priority="316">
      <formula>$C23=$E$3</formula>
    </cfRule>
    <cfRule type="expression" dxfId="293" priority="317">
      <formula>$C23&lt;$E$3</formula>
    </cfRule>
    <cfRule type="cellIs" dxfId="292" priority="318" operator="equal">
      <formula>0</formula>
    </cfRule>
    <cfRule type="expression" dxfId="291" priority="319">
      <formula>$C23&gt;$E$3</formula>
    </cfRule>
  </conditionalFormatting>
  <conditionalFormatting sqref="K23:K27">
    <cfRule type="expression" dxfId="290" priority="315">
      <formula>$C23&lt;$E$3</formula>
    </cfRule>
  </conditionalFormatting>
  <conditionalFormatting sqref="K23:K27">
    <cfRule type="expression" dxfId="289" priority="311">
      <formula>$C23=$E$3</formula>
    </cfRule>
    <cfRule type="expression" dxfId="288" priority="312">
      <formula>$C23&lt;$E$3</formula>
    </cfRule>
    <cfRule type="cellIs" dxfId="287" priority="313" operator="equal">
      <formula>0</formula>
    </cfRule>
    <cfRule type="expression" dxfId="286" priority="314">
      <formula>$C23&gt;$E$3</formula>
    </cfRule>
  </conditionalFormatting>
  <conditionalFormatting sqref="K23:K27">
    <cfRule type="expression" dxfId="285" priority="310">
      <formula>$C23&lt;$E$3</formula>
    </cfRule>
  </conditionalFormatting>
  <conditionalFormatting sqref="K23:K27">
    <cfRule type="expression" dxfId="284" priority="306">
      <formula>$C23=$E$3</formula>
    </cfRule>
    <cfRule type="expression" dxfId="283" priority="307">
      <formula>$C23&lt;$E$3</formula>
    </cfRule>
    <cfRule type="cellIs" dxfId="282" priority="308" operator="equal">
      <formula>0</formula>
    </cfRule>
    <cfRule type="expression" dxfId="281" priority="309">
      <formula>$C23&gt;$E$3</formula>
    </cfRule>
  </conditionalFormatting>
  <conditionalFormatting sqref="K23:K27">
    <cfRule type="expression" dxfId="280" priority="305">
      <formula>$C23&lt;$E$3</formula>
    </cfRule>
  </conditionalFormatting>
  <conditionalFormatting sqref="K23:K27">
    <cfRule type="expression" dxfId="279" priority="301">
      <formula>$C23=$E$3</formula>
    </cfRule>
    <cfRule type="expression" dxfId="278" priority="302">
      <formula>$C23&lt;$E$3</formula>
    </cfRule>
    <cfRule type="cellIs" dxfId="277" priority="303" operator="equal">
      <formula>0</formula>
    </cfRule>
    <cfRule type="expression" dxfId="276" priority="304">
      <formula>$C23&gt;$E$3</formula>
    </cfRule>
  </conditionalFormatting>
  <conditionalFormatting sqref="K23:K27">
    <cfRule type="expression" dxfId="275" priority="300">
      <formula>$E23=""</formula>
    </cfRule>
  </conditionalFormatting>
  <conditionalFormatting sqref="K23:K27">
    <cfRule type="expression" dxfId="274" priority="299">
      <formula>$C23&lt;$E$3</formula>
    </cfRule>
  </conditionalFormatting>
  <conditionalFormatting sqref="K23:K27">
    <cfRule type="expression" dxfId="273" priority="298">
      <formula>$E23=""</formula>
    </cfRule>
  </conditionalFormatting>
  <conditionalFormatting sqref="K23:K27">
    <cfRule type="expression" dxfId="272" priority="297">
      <formula>$E23=""</formula>
    </cfRule>
  </conditionalFormatting>
  <conditionalFormatting sqref="K23:K27">
    <cfRule type="expression" dxfId="271" priority="296">
      <formula>$C23&lt;$E$3</formula>
    </cfRule>
  </conditionalFormatting>
  <conditionalFormatting sqref="K23:K27">
    <cfRule type="expression" dxfId="270" priority="295">
      <formula>$E23=""</formula>
    </cfRule>
  </conditionalFormatting>
  <conditionalFormatting sqref="K23:K27">
    <cfRule type="expression" dxfId="269" priority="294">
      <formula>$C23&lt;$E$3</formula>
    </cfRule>
  </conditionalFormatting>
  <conditionalFormatting sqref="K23:K27">
    <cfRule type="expression" dxfId="268" priority="293">
      <formula>$E23=""</formula>
    </cfRule>
  </conditionalFormatting>
  <conditionalFormatting sqref="K23:K27">
    <cfRule type="expression" dxfId="267" priority="291">
      <formula>$E23=""</formula>
    </cfRule>
  </conditionalFormatting>
  <conditionalFormatting sqref="K23:K29">
    <cfRule type="expression" dxfId="266" priority="289">
      <formula>$C23&lt;$E$3</formula>
    </cfRule>
  </conditionalFormatting>
  <conditionalFormatting sqref="K23:K29">
    <cfRule type="expression" dxfId="265" priority="286">
      <formula>$C23=$E$3</formula>
    </cfRule>
    <cfRule type="expression" dxfId="264" priority="287">
      <formula>$C23&lt;$E$3</formula>
    </cfRule>
    <cfRule type="cellIs" dxfId="263" priority="288" operator="equal">
      <formula>0</formula>
    </cfRule>
    <cfRule type="expression" dxfId="262" priority="290">
      <formula>$C23&gt;$E$3</formula>
    </cfRule>
  </conditionalFormatting>
  <conditionalFormatting sqref="K23:K29">
    <cfRule type="expression" dxfId="261" priority="285">
      <formula>$E23=""</formula>
    </cfRule>
  </conditionalFormatting>
  <conditionalFormatting sqref="K23:K29">
    <cfRule type="expression" dxfId="260" priority="284">
      <formula>$E23=""</formula>
    </cfRule>
  </conditionalFormatting>
  <conditionalFormatting sqref="K23:K29">
    <cfRule type="expression" dxfId="259" priority="283">
      <formula>$E23=""</formula>
    </cfRule>
  </conditionalFormatting>
  <conditionalFormatting sqref="K32:K38">
    <cfRule type="cellIs" dxfId="258" priority="282" stopIfTrue="1" operator="lessThan">
      <formula>0</formula>
    </cfRule>
  </conditionalFormatting>
  <conditionalFormatting sqref="K32:K38">
    <cfRule type="expression" dxfId="257" priority="280">
      <formula>$C32&lt;$E$3</formula>
    </cfRule>
  </conditionalFormatting>
  <conditionalFormatting sqref="K32:K38">
    <cfRule type="expression" dxfId="256" priority="277">
      <formula>$C32=$E$3</formula>
    </cfRule>
    <cfRule type="expression" dxfId="255" priority="278">
      <formula>$C32&lt;$E$3</formula>
    </cfRule>
    <cfRule type="cellIs" dxfId="254" priority="279" operator="equal">
      <formula>0</formula>
    </cfRule>
    <cfRule type="expression" dxfId="253" priority="281">
      <formula>$C32&gt;$E$3</formula>
    </cfRule>
  </conditionalFormatting>
  <conditionalFormatting sqref="K32:K38">
    <cfRule type="expression" dxfId="252" priority="276">
      <formula>$E32=""</formula>
    </cfRule>
  </conditionalFormatting>
  <conditionalFormatting sqref="K32:K38">
    <cfRule type="expression" dxfId="251" priority="275">
      <formula>$E32=""</formula>
    </cfRule>
  </conditionalFormatting>
  <conditionalFormatting sqref="K32:K38">
    <cfRule type="expression" dxfId="250" priority="274">
      <formula>$E32=""</formula>
    </cfRule>
  </conditionalFormatting>
  <conditionalFormatting sqref="K37">
    <cfRule type="expression" dxfId="249" priority="273">
      <formula>$C37&lt;$E$3</formula>
    </cfRule>
  </conditionalFormatting>
  <conditionalFormatting sqref="K37">
    <cfRule type="expression" dxfId="248" priority="269">
      <formula>$C37=$E$3</formula>
    </cfRule>
    <cfRule type="expression" dxfId="247" priority="270">
      <formula>$C37&lt;$E$3</formula>
    </cfRule>
    <cfRule type="cellIs" dxfId="246" priority="271" operator="equal">
      <formula>0</formula>
    </cfRule>
    <cfRule type="expression" dxfId="245" priority="272">
      <formula>$C37&gt;$E$3</formula>
    </cfRule>
  </conditionalFormatting>
  <conditionalFormatting sqref="K37">
    <cfRule type="expression" dxfId="244" priority="268">
      <formula>$C37&lt;$E$3</formula>
    </cfRule>
  </conditionalFormatting>
  <conditionalFormatting sqref="K37">
    <cfRule type="expression" dxfId="243" priority="264">
      <formula>$C37=$E$3</formula>
    </cfRule>
    <cfRule type="expression" dxfId="242" priority="265">
      <formula>$C37&lt;$E$3</formula>
    </cfRule>
    <cfRule type="cellIs" dxfId="241" priority="266" operator="equal">
      <formula>0</formula>
    </cfRule>
    <cfRule type="expression" dxfId="240" priority="267">
      <formula>$C37&gt;$E$3</formula>
    </cfRule>
  </conditionalFormatting>
  <conditionalFormatting sqref="K37">
    <cfRule type="expression" dxfId="239" priority="253">
      <formula>$E37=""</formula>
    </cfRule>
  </conditionalFormatting>
  <conditionalFormatting sqref="K37">
    <cfRule type="expression" dxfId="238" priority="252">
      <formula>$C37&lt;$E$3</formula>
    </cfRule>
  </conditionalFormatting>
  <conditionalFormatting sqref="K37">
    <cfRule type="expression" dxfId="237" priority="251">
      <formula>$E37=""</formula>
    </cfRule>
  </conditionalFormatting>
  <conditionalFormatting sqref="K37">
    <cfRule type="expression" dxfId="236" priority="250">
      <formula>$E37=""</formula>
    </cfRule>
  </conditionalFormatting>
  <conditionalFormatting sqref="K37">
    <cfRule type="expression" dxfId="235" priority="249">
      <formula>$C37&lt;$E$3</formula>
    </cfRule>
  </conditionalFormatting>
  <conditionalFormatting sqref="K37">
    <cfRule type="expression" dxfId="234" priority="248">
      <formula>$E37=""</formula>
    </cfRule>
  </conditionalFormatting>
  <conditionalFormatting sqref="K37">
    <cfRule type="expression" dxfId="233" priority="247">
      <formula>$C37&lt;$E$3</formula>
    </cfRule>
  </conditionalFormatting>
  <conditionalFormatting sqref="K37">
    <cfRule type="expression" dxfId="232" priority="246">
      <formula>$E37=""</formula>
    </cfRule>
  </conditionalFormatting>
  <conditionalFormatting sqref="K37">
    <cfRule type="expression" dxfId="231" priority="244">
      <formula>$E37=""</formula>
    </cfRule>
  </conditionalFormatting>
  <conditionalFormatting sqref="K37">
    <cfRule type="expression" dxfId="230" priority="243">
      <formula>$C37&lt;$E$3</formula>
    </cfRule>
  </conditionalFormatting>
  <conditionalFormatting sqref="K37">
    <cfRule type="expression" dxfId="229" priority="239">
      <formula>$C37=$E$3</formula>
    </cfRule>
    <cfRule type="expression" dxfId="228" priority="240">
      <formula>$C37&lt;$E$3</formula>
    </cfRule>
    <cfRule type="cellIs" dxfId="227" priority="241" operator="equal">
      <formula>0</formula>
    </cfRule>
    <cfRule type="expression" dxfId="226" priority="242">
      <formula>$C37&gt;$E$3</formula>
    </cfRule>
  </conditionalFormatting>
  <conditionalFormatting sqref="K37">
    <cfRule type="expression" dxfId="225" priority="238">
      <formula>$C37&lt;$E$3</formula>
    </cfRule>
  </conditionalFormatting>
  <conditionalFormatting sqref="K37">
    <cfRule type="expression" dxfId="224" priority="234">
      <formula>$C37=$E$3</formula>
    </cfRule>
    <cfRule type="expression" dxfId="223" priority="235">
      <formula>$C37&lt;$E$3</formula>
    </cfRule>
    <cfRule type="cellIs" dxfId="222" priority="236" operator="equal">
      <formula>0</formula>
    </cfRule>
    <cfRule type="expression" dxfId="221" priority="237">
      <formula>$C37&gt;$E$3</formula>
    </cfRule>
  </conditionalFormatting>
  <conditionalFormatting sqref="K37">
    <cfRule type="expression" dxfId="220" priority="223">
      <formula>$E37=""</formula>
    </cfRule>
  </conditionalFormatting>
  <conditionalFormatting sqref="K37">
    <cfRule type="expression" dxfId="219" priority="222">
      <formula>$C37&lt;$E$3</formula>
    </cfRule>
  </conditionalFormatting>
  <conditionalFormatting sqref="K37">
    <cfRule type="expression" dxfId="218" priority="221">
      <formula>$E37=""</formula>
    </cfRule>
  </conditionalFormatting>
  <conditionalFormatting sqref="K37">
    <cfRule type="expression" dxfId="217" priority="220">
      <formula>$E37=""</formula>
    </cfRule>
  </conditionalFormatting>
  <conditionalFormatting sqref="K37">
    <cfRule type="expression" dxfId="216" priority="219">
      <formula>$C37&lt;$E$3</formula>
    </cfRule>
  </conditionalFormatting>
  <conditionalFormatting sqref="K37">
    <cfRule type="expression" dxfId="215" priority="218">
      <formula>$E37=""</formula>
    </cfRule>
  </conditionalFormatting>
  <conditionalFormatting sqref="K37">
    <cfRule type="expression" dxfId="214" priority="217">
      <formula>$C37&lt;$E$3</formula>
    </cfRule>
  </conditionalFormatting>
  <conditionalFormatting sqref="K37">
    <cfRule type="expression" dxfId="213" priority="216">
      <formula>$E37=""</formula>
    </cfRule>
  </conditionalFormatting>
  <conditionalFormatting sqref="K37">
    <cfRule type="expression" dxfId="212" priority="214">
      <formula>$E37=""</formula>
    </cfRule>
  </conditionalFormatting>
  <conditionalFormatting sqref="K32:K36">
    <cfRule type="expression" dxfId="211" priority="213">
      <formula>$C32&lt;$E$3</formula>
    </cfRule>
  </conditionalFormatting>
  <conditionalFormatting sqref="K32:K36">
    <cfRule type="expression" dxfId="210" priority="209">
      <formula>$C32=$E$3</formula>
    </cfRule>
    <cfRule type="expression" dxfId="209" priority="210">
      <formula>$C32&lt;$E$3</formula>
    </cfRule>
    <cfRule type="cellIs" dxfId="208" priority="211" operator="equal">
      <formula>0</formula>
    </cfRule>
    <cfRule type="expression" dxfId="207" priority="212">
      <formula>$C32&gt;$E$3</formula>
    </cfRule>
  </conditionalFormatting>
  <conditionalFormatting sqref="K32:K36">
    <cfRule type="expression" dxfId="206" priority="208">
      <formula>$C32&lt;$E$3</formula>
    </cfRule>
  </conditionalFormatting>
  <conditionalFormatting sqref="K32:K36">
    <cfRule type="expression" dxfId="205" priority="204">
      <formula>$C32=$E$3</formula>
    </cfRule>
    <cfRule type="expression" dxfId="204" priority="205">
      <formula>$C32&lt;$E$3</formula>
    </cfRule>
    <cfRule type="cellIs" dxfId="203" priority="206" operator="equal">
      <formula>0</formula>
    </cfRule>
    <cfRule type="expression" dxfId="202" priority="207">
      <formula>$C32&gt;$E$3</formula>
    </cfRule>
  </conditionalFormatting>
  <conditionalFormatting sqref="K32:K36">
    <cfRule type="expression" dxfId="201" priority="193">
      <formula>$E32=""</formula>
    </cfRule>
  </conditionalFormatting>
  <conditionalFormatting sqref="K32:K36">
    <cfRule type="expression" dxfId="200" priority="192">
      <formula>$C32&lt;$E$3</formula>
    </cfRule>
  </conditionalFormatting>
  <conditionalFormatting sqref="K32:K36">
    <cfRule type="expression" dxfId="199" priority="191">
      <formula>$E32=""</formula>
    </cfRule>
  </conditionalFormatting>
  <conditionalFormatting sqref="K32:K36">
    <cfRule type="expression" dxfId="198" priority="190">
      <formula>$E32=""</formula>
    </cfRule>
  </conditionalFormatting>
  <conditionalFormatting sqref="K32:K36">
    <cfRule type="expression" dxfId="197" priority="189">
      <formula>$C32&lt;$E$3</formula>
    </cfRule>
  </conditionalFormatting>
  <conditionalFormatting sqref="K32:K36">
    <cfRule type="expression" dxfId="196" priority="188">
      <formula>$E32=""</formula>
    </cfRule>
  </conditionalFormatting>
  <conditionalFormatting sqref="K32:K36">
    <cfRule type="expression" dxfId="195" priority="187">
      <formula>$C32&lt;$E$3</formula>
    </cfRule>
  </conditionalFormatting>
  <conditionalFormatting sqref="K32:K36">
    <cfRule type="expression" dxfId="194" priority="186">
      <formula>$E32=""</formula>
    </cfRule>
  </conditionalFormatting>
  <conditionalFormatting sqref="K32:K36">
    <cfRule type="expression" dxfId="193" priority="184">
      <formula>$E32=""</formula>
    </cfRule>
  </conditionalFormatting>
  <conditionalFormatting sqref="K32:K36">
    <cfRule type="expression" dxfId="192" priority="183">
      <formula>$C32&lt;$E$3</formula>
    </cfRule>
  </conditionalFormatting>
  <conditionalFormatting sqref="K32:K36">
    <cfRule type="expression" dxfId="191" priority="179">
      <formula>$C32=$E$3</formula>
    </cfRule>
    <cfRule type="expression" dxfId="190" priority="180">
      <formula>$C32&lt;$E$3</formula>
    </cfRule>
    <cfRule type="cellIs" dxfId="189" priority="181" operator="equal">
      <formula>0</formula>
    </cfRule>
    <cfRule type="expression" dxfId="188" priority="182">
      <formula>$C32&gt;$E$3</formula>
    </cfRule>
  </conditionalFormatting>
  <conditionalFormatting sqref="K32:K36">
    <cfRule type="expression" dxfId="187" priority="178">
      <formula>$C32&lt;$E$3</formula>
    </cfRule>
  </conditionalFormatting>
  <conditionalFormatting sqref="K32:K36">
    <cfRule type="expression" dxfId="186" priority="174">
      <formula>$C32=$E$3</formula>
    </cfRule>
    <cfRule type="expression" dxfId="185" priority="175">
      <formula>$C32&lt;$E$3</formula>
    </cfRule>
    <cfRule type="cellIs" dxfId="184" priority="176" operator="equal">
      <formula>0</formula>
    </cfRule>
    <cfRule type="expression" dxfId="183" priority="177">
      <formula>$C32&gt;$E$3</formula>
    </cfRule>
  </conditionalFormatting>
  <conditionalFormatting sqref="K32:K36">
    <cfRule type="expression" dxfId="182" priority="173">
      <formula>$C32&lt;$E$3</formula>
    </cfRule>
  </conditionalFormatting>
  <conditionalFormatting sqref="K32:K36">
    <cfRule type="expression" dxfId="181" priority="169">
      <formula>$C32=$E$3</formula>
    </cfRule>
    <cfRule type="expression" dxfId="180" priority="170">
      <formula>$C32&lt;$E$3</formula>
    </cfRule>
    <cfRule type="cellIs" dxfId="179" priority="171" operator="equal">
      <formula>0</formula>
    </cfRule>
    <cfRule type="expression" dxfId="178" priority="172">
      <formula>$C32&gt;$E$3</formula>
    </cfRule>
  </conditionalFormatting>
  <conditionalFormatting sqref="K32:K36">
    <cfRule type="expression" dxfId="177" priority="168">
      <formula>$C32&lt;$E$3</formula>
    </cfRule>
  </conditionalFormatting>
  <conditionalFormatting sqref="K32:K36">
    <cfRule type="expression" dxfId="176" priority="164">
      <formula>$C32=$E$3</formula>
    </cfRule>
    <cfRule type="expression" dxfId="175" priority="165">
      <formula>$C32&lt;$E$3</formula>
    </cfRule>
    <cfRule type="cellIs" dxfId="174" priority="166" operator="equal">
      <formula>0</formula>
    </cfRule>
    <cfRule type="expression" dxfId="173" priority="167">
      <formula>$C32&gt;$E$3</formula>
    </cfRule>
  </conditionalFormatting>
  <conditionalFormatting sqref="K32:K36">
    <cfRule type="expression" dxfId="172" priority="163">
      <formula>$E32=""</formula>
    </cfRule>
  </conditionalFormatting>
  <conditionalFormatting sqref="K32:K36">
    <cfRule type="expression" dxfId="171" priority="162">
      <formula>$C32&lt;$E$3</formula>
    </cfRule>
  </conditionalFormatting>
  <conditionalFormatting sqref="K32:K36">
    <cfRule type="expression" dxfId="170" priority="161">
      <formula>$E32=""</formula>
    </cfRule>
  </conditionalFormatting>
  <conditionalFormatting sqref="K32:K36">
    <cfRule type="expression" dxfId="169" priority="160">
      <formula>$E32=""</formula>
    </cfRule>
  </conditionalFormatting>
  <conditionalFormatting sqref="K32:K36">
    <cfRule type="expression" dxfId="168" priority="159">
      <formula>$C32&lt;$E$3</formula>
    </cfRule>
  </conditionalFormatting>
  <conditionalFormatting sqref="K32:K36">
    <cfRule type="expression" dxfId="167" priority="158">
      <formula>$E32=""</formula>
    </cfRule>
  </conditionalFormatting>
  <conditionalFormatting sqref="K32:K36">
    <cfRule type="expression" dxfId="166" priority="157">
      <formula>$C32&lt;$E$3</formula>
    </cfRule>
  </conditionalFormatting>
  <conditionalFormatting sqref="K32:K36">
    <cfRule type="expression" dxfId="165" priority="156">
      <formula>$E32=""</formula>
    </cfRule>
  </conditionalFormatting>
  <conditionalFormatting sqref="K32:K36">
    <cfRule type="expression" dxfId="164" priority="154">
      <formula>$E32=""</formula>
    </cfRule>
  </conditionalFormatting>
  <conditionalFormatting sqref="K32:K38">
    <cfRule type="expression" dxfId="163" priority="152">
      <formula>$C32&lt;$E$3</formula>
    </cfRule>
  </conditionalFormatting>
  <conditionalFormatting sqref="K32:K38">
    <cfRule type="expression" dxfId="162" priority="149">
      <formula>$C32=$E$3</formula>
    </cfRule>
    <cfRule type="expression" dxfId="161" priority="150">
      <formula>$C32&lt;$E$3</formula>
    </cfRule>
    <cfRule type="cellIs" dxfId="160" priority="151" operator="equal">
      <formula>0</formula>
    </cfRule>
    <cfRule type="expression" dxfId="159" priority="153">
      <formula>$C32&gt;$E$3</formula>
    </cfRule>
  </conditionalFormatting>
  <conditionalFormatting sqref="K32:K38">
    <cfRule type="expression" dxfId="158" priority="148">
      <formula>$E32=""</formula>
    </cfRule>
  </conditionalFormatting>
  <conditionalFormatting sqref="K32:K38">
    <cfRule type="expression" dxfId="157" priority="147">
      <formula>$E32=""</formula>
    </cfRule>
  </conditionalFormatting>
  <conditionalFormatting sqref="K32:K38">
    <cfRule type="expression" dxfId="156" priority="146">
      <formula>$E32=""</formula>
    </cfRule>
  </conditionalFormatting>
  <conditionalFormatting sqref="K41:K47">
    <cfRule type="cellIs" dxfId="155" priority="145" stopIfTrue="1" operator="lessThan">
      <formula>0</formula>
    </cfRule>
  </conditionalFormatting>
  <conditionalFormatting sqref="K41:K47">
    <cfRule type="expression" dxfId="154" priority="143">
      <formula>$C41&lt;$E$3</formula>
    </cfRule>
  </conditionalFormatting>
  <conditionalFormatting sqref="K41:K47">
    <cfRule type="expression" dxfId="153" priority="140">
      <formula>$C41=$E$3</formula>
    </cfRule>
    <cfRule type="expression" dxfId="152" priority="141">
      <formula>$C41&lt;$E$3</formula>
    </cfRule>
    <cfRule type="cellIs" dxfId="151" priority="142" operator="equal">
      <formula>0</formula>
    </cfRule>
    <cfRule type="expression" dxfId="150" priority="144">
      <formula>$C41&gt;$E$3</formula>
    </cfRule>
  </conditionalFormatting>
  <conditionalFormatting sqref="K41:K47">
    <cfRule type="expression" dxfId="149" priority="139">
      <formula>$E41=""</formula>
    </cfRule>
  </conditionalFormatting>
  <conditionalFormatting sqref="K41:K47">
    <cfRule type="expression" dxfId="148" priority="138">
      <formula>$E41=""</formula>
    </cfRule>
  </conditionalFormatting>
  <conditionalFormatting sqref="K41:K47">
    <cfRule type="expression" dxfId="147" priority="137">
      <formula>$E41=""</formula>
    </cfRule>
  </conditionalFormatting>
  <conditionalFormatting sqref="K46">
    <cfRule type="expression" dxfId="146" priority="136">
      <formula>$C46&lt;$E$3</formula>
    </cfRule>
  </conditionalFormatting>
  <conditionalFormatting sqref="K46">
    <cfRule type="expression" dxfId="145" priority="132">
      <formula>$C46=$E$3</formula>
    </cfRule>
    <cfRule type="expression" dxfId="144" priority="133">
      <formula>$C46&lt;$E$3</formula>
    </cfRule>
    <cfRule type="cellIs" dxfId="143" priority="134" operator="equal">
      <formula>0</formula>
    </cfRule>
    <cfRule type="expression" dxfId="142" priority="135">
      <formula>$C46&gt;$E$3</formula>
    </cfRule>
  </conditionalFormatting>
  <conditionalFormatting sqref="K46">
    <cfRule type="expression" dxfId="141" priority="131">
      <formula>$C46&lt;$E$3</formula>
    </cfRule>
  </conditionalFormatting>
  <conditionalFormatting sqref="K46">
    <cfRule type="expression" dxfId="140" priority="127">
      <formula>$C46=$E$3</formula>
    </cfRule>
    <cfRule type="expression" dxfId="139" priority="128">
      <formula>$C46&lt;$E$3</formula>
    </cfRule>
    <cfRule type="cellIs" dxfId="138" priority="129" operator="equal">
      <formula>0</formula>
    </cfRule>
    <cfRule type="expression" dxfId="137" priority="130">
      <formula>$C46&gt;$E$3</formula>
    </cfRule>
  </conditionalFormatting>
  <conditionalFormatting sqref="K46">
    <cfRule type="expression" dxfId="136" priority="126">
      <formula>$C46&lt;$E$3</formula>
    </cfRule>
  </conditionalFormatting>
  <conditionalFormatting sqref="K46">
    <cfRule type="expression" dxfId="135" priority="122">
      <formula>$C46=$E$3</formula>
    </cfRule>
    <cfRule type="expression" dxfId="134" priority="123">
      <formula>$C46&lt;$E$3</formula>
    </cfRule>
    <cfRule type="cellIs" dxfId="133" priority="124" operator="equal">
      <formula>0</formula>
    </cfRule>
    <cfRule type="expression" dxfId="132" priority="125">
      <formula>$C46&gt;$E$3</formula>
    </cfRule>
  </conditionalFormatting>
  <conditionalFormatting sqref="K46">
    <cfRule type="expression" dxfId="131" priority="121">
      <formula>$C46&lt;$E$3</formula>
    </cfRule>
  </conditionalFormatting>
  <conditionalFormatting sqref="K46">
    <cfRule type="expression" dxfId="130" priority="117">
      <formula>$C46=$E$3</formula>
    </cfRule>
    <cfRule type="expression" dxfId="129" priority="118">
      <formula>$C46&lt;$E$3</formula>
    </cfRule>
    <cfRule type="cellIs" dxfId="128" priority="119" operator="equal">
      <formula>0</formula>
    </cfRule>
    <cfRule type="expression" dxfId="127" priority="120">
      <formula>$C46&gt;$E$3</formula>
    </cfRule>
  </conditionalFormatting>
  <conditionalFormatting sqref="K46">
    <cfRule type="expression" dxfId="126" priority="116">
      <formula>$E46=""</formula>
    </cfRule>
  </conditionalFormatting>
  <conditionalFormatting sqref="K46">
    <cfRule type="expression" dxfId="125" priority="115">
      <formula>$C46&lt;$E$3</formula>
    </cfRule>
  </conditionalFormatting>
  <conditionalFormatting sqref="K46">
    <cfRule type="expression" dxfId="124" priority="114">
      <formula>$E46=""</formula>
    </cfRule>
  </conditionalFormatting>
  <conditionalFormatting sqref="K46">
    <cfRule type="expression" dxfId="123" priority="113">
      <formula>$E46=""</formula>
    </cfRule>
  </conditionalFormatting>
  <conditionalFormatting sqref="K46">
    <cfRule type="expression" dxfId="122" priority="112">
      <formula>$C46&lt;$E$3</formula>
    </cfRule>
  </conditionalFormatting>
  <conditionalFormatting sqref="K46">
    <cfRule type="expression" dxfId="121" priority="111">
      <formula>$E46=""</formula>
    </cfRule>
  </conditionalFormatting>
  <conditionalFormatting sqref="K46">
    <cfRule type="expression" dxfId="120" priority="110">
      <formula>$C46&lt;$E$3</formula>
    </cfRule>
  </conditionalFormatting>
  <conditionalFormatting sqref="K46">
    <cfRule type="expression" dxfId="119" priority="109">
      <formula>$E46=""</formula>
    </cfRule>
  </conditionalFormatting>
  <conditionalFormatting sqref="K46">
    <cfRule type="expression" dxfId="118" priority="108">
      <formula>$C46&lt;$E$3</formula>
    </cfRule>
  </conditionalFormatting>
  <conditionalFormatting sqref="K46">
    <cfRule type="expression" dxfId="117" priority="107">
      <formula>$E46=""</formula>
    </cfRule>
  </conditionalFormatting>
  <conditionalFormatting sqref="K46">
    <cfRule type="expression" dxfId="116" priority="106">
      <formula>$C46&lt;$E$3</formula>
    </cfRule>
  </conditionalFormatting>
  <conditionalFormatting sqref="K46">
    <cfRule type="expression" dxfId="115" priority="102">
      <formula>$C46=$E$3</formula>
    </cfRule>
    <cfRule type="expression" dxfId="114" priority="103">
      <formula>$C46&lt;$E$3</formula>
    </cfRule>
    <cfRule type="cellIs" dxfId="113" priority="104" operator="equal">
      <formula>0</formula>
    </cfRule>
    <cfRule type="expression" dxfId="112" priority="105">
      <formula>$C46&gt;$E$3</formula>
    </cfRule>
  </conditionalFormatting>
  <conditionalFormatting sqref="K46">
    <cfRule type="expression" dxfId="111" priority="101">
      <formula>$C46&lt;$E$3</formula>
    </cfRule>
  </conditionalFormatting>
  <conditionalFormatting sqref="K46">
    <cfRule type="expression" dxfId="110" priority="97">
      <formula>$C46=$E$3</formula>
    </cfRule>
    <cfRule type="expression" dxfId="109" priority="98">
      <formula>$C46&lt;$E$3</formula>
    </cfRule>
    <cfRule type="cellIs" dxfId="108" priority="99" operator="equal">
      <formula>0</formula>
    </cfRule>
    <cfRule type="expression" dxfId="107" priority="100">
      <formula>$C46&gt;$E$3</formula>
    </cfRule>
  </conditionalFormatting>
  <conditionalFormatting sqref="K46">
    <cfRule type="expression" dxfId="106" priority="96">
      <formula>$C46&lt;$E$3</formula>
    </cfRule>
  </conditionalFormatting>
  <conditionalFormatting sqref="K46">
    <cfRule type="expression" dxfId="105" priority="92">
      <formula>$C46=$E$3</formula>
    </cfRule>
    <cfRule type="expression" dxfId="104" priority="93">
      <formula>$C46&lt;$E$3</formula>
    </cfRule>
    <cfRule type="cellIs" dxfId="103" priority="94" operator="equal">
      <formula>0</formula>
    </cfRule>
    <cfRule type="expression" dxfId="102" priority="95">
      <formula>$C46&gt;$E$3</formula>
    </cfRule>
  </conditionalFormatting>
  <conditionalFormatting sqref="K46">
    <cfRule type="expression" dxfId="101" priority="91">
      <formula>$C46&lt;$E$3</formula>
    </cfRule>
  </conditionalFormatting>
  <conditionalFormatting sqref="K46">
    <cfRule type="expression" dxfId="100" priority="87">
      <formula>$C46=$E$3</formula>
    </cfRule>
    <cfRule type="expression" dxfId="99" priority="88">
      <formula>$C46&lt;$E$3</formula>
    </cfRule>
    <cfRule type="cellIs" dxfId="98" priority="89" operator="equal">
      <formula>0</formula>
    </cfRule>
    <cfRule type="expression" dxfId="97" priority="90">
      <formula>$C46&gt;$E$3</formula>
    </cfRule>
  </conditionalFormatting>
  <conditionalFormatting sqref="K46">
    <cfRule type="expression" dxfId="96" priority="86">
      <formula>$E46=""</formula>
    </cfRule>
  </conditionalFormatting>
  <conditionalFormatting sqref="K46">
    <cfRule type="expression" dxfId="95" priority="85">
      <formula>$C46&lt;$E$3</formula>
    </cfRule>
  </conditionalFormatting>
  <conditionalFormatting sqref="K46">
    <cfRule type="expression" dxfId="94" priority="84">
      <formula>$E46=""</formula>
    </cfRule>
  </conditionalFormatting>
  <conditionalFormatting sqref="K46">
    <cfRule type="expression" dxfId="93" priority="83">
      <formula>$E46=""</formula>
    </cfRule>
  </conditionalFormatting>
  <conditionalFormatting sqref="K46">
    <cfRule type="expression" dxfId="92" priority="82">
      <formula>$C46&lt;$E$3</formula>
    </cfRule>
  </conditionalFormatting>
  <conditionalFormatting sqref="K46">
    <cfRule type="expression" dxfId="91" priority="81">
      <formula>$E46=""</formula>
    </cfRule>
  </conditionalFormatting>
  <conditionalFormatting sqref="K46">
    <cfRule type="expression" dxfId="90" priority="80">
      <formula>$C46&lt;$E$3</formula>
    </cfRule>
  </conditionalFormatting>
  <conditionalFormatting sqref="K46">
    <cfRule type="expression" dxfId="89" priority="79">
      <formula>$E46=""</formula>
    </cfRule>
  </conditionalFormatting>
  <conditionalFormatting sqref="K46">
    <cfRule type="expression" dxfId="88" priority="78">
      <formula>$C46&lt;$E$3</formula>
    </cfRule>
  </conditionalFormatting>
  <conditionalFormatting sqref="K46">
    <cfRule type="expression" dxfId="87" priority="77">
      <formula>$E46=""</formula>
    </cfRule>
  </conditionalFormatting>
  <conditionalFormatting sqref="K41:K45">
    <cfRule type="expression" dxfId="86" priority="76">
      <formula>$C41&lt;$E$3</formula>
    </cfRule>
  </conditionalFormatting>
  <conditionalFormatting sqref="K41:K45">
    <cfRule type="expression" dxfId="85" priority="72">
      <formula>$C41=$E$3</formula>
    </cfRule>
    <cfRule type="expression" dxfId="84" priority="73">
      <formula>$C41&lt;$E$3</formula>
    </cfRule>
    <cfRule type="cellIs" dxfId="83" priority="74" operator="equal">
      <formula>0</formula>
    </cfRule>
    <cfRule type="expression" dxfId="82" priority="75">
      <formula>$C41&gt;$E$3</formula>
    </cfRule>
  </conditionalFormatting>
  <conditionalFormatting sqref="K41:K45">
    <cfRule type="expression" dxfId="81" priority="71">
      <formula>$C41&lt;$E$3</formula>
    </cfRule>
  </conditionalFormatting>
  <conditionalFormatting sqref="K41:K45">
    <cfRule type="expression" dxfId="80" priority="67">
      <formula>$C41=$E$3</formula>
    </cfRule>
    <cfRule type="expression" dxfId="79" priority="68">
      <formula>$C41&lt;$E$3</formula>
    </cfRule>
    <cfRule type="cellIs" dxfId="78" priority="69" operator="equal">
      <formula>0</formula>
    </cfRule>
    <cfRule type="expression" dxfId="77" priority="70">
      <formula>$C41&gt;$E$3</formula>
    </cfRule>
  </conditionalFormatting>
  <conditionalFormatting sqref="K41:K45">
    <cfRule type="expression" dxfId="76" priority="66">
      <formula>$C41&lt;$E$3</formula>
    </cfRule>
  </conditionalFormatting>
  <conditionalFormatting sqref="K41:K45">
    <cfRule type="expression" dxfId="75" priority="62">
      <formula>$C41=$E$3</formula>
    </cfRule>
    <cfRule type="expression" dxfId="74" priority="63">
      <formula>$C41&lt;$E$3</formula>
    </cfRule>
    <cfRule type="cellIs" dxfId="73" priority="64" operator="equal">
      <formula>0</formula>
    </cfRule>
    <cfRule type="expression" dxfId="72" priority="65">
      <formula>$C41&gt;$E$3</formula>
    </cfRule>
  </conditionalFormatting>
  <conditionalFormatting sqref="K41:K45">
    <cfRule type="expression" dxfId="71" priority="61">
      <formula>$C41&lt;$E$3</formula>
    </cfRule>
  </conditionalFormatting>
  <conditionalFormatting sqref="K41:K45">
    <cfRule type="expression" dxfId="70" priority="57">
      <formula>$C41=$E$3</formula>
    </cfRule>
    <cfRule type="expression" dxfId="69" priority="58">
      <formula>$C41&lt;$E$3</formula>
    </cfRule>
    <cfRule type="cellIs" dxfId="68" priority="59" operator="equal">
      <formula>0</formula>
    </cfRule>
    <cfRule type="expression" dxfId="67" priority="60">
      <formula>$C41&gt;$E$3</formula>
    </cfRule>
  </conditionalFormatting>
  <conditionalFormatting sqref="K41:K45">
    <cfRule type="expression" dxfId="66" priority="56">
      <formula>$E41=""</formula>
    </cfRule>
  </conditionalFormatting>
  <conditionalFormatting sqref="K41:K45">
    <cfRule type="expression" dxfId="65" priority="55">
      <formula>$C41&lt;$E$3</formula>
    </cfRule>
  </conditionalFormatting>
  <conditionalFormatting sqref="K41:K45">
    <cfRule type="expression" dxfId="64" priority="54">
      <formula>$E41=""</formula>
    </cfRule>
  </conditionalFormatting>
  <conditionalFormatting sqref="K41:K45">
    <cfRule type="expression" dxfId="63" priority="53">
      <formula>$E41=""</formula>
    </cfRule>
  </conditionalFormatting>
  <conditionalFormatting sqref="K41:K45">
    <cfRule type="expression" dxfId="62" priority="52">
      <formula>$C41&lt;$E$3</formula>
    </cfRule>
  </conditionalFormatting>
  <conditionalFormatting sqref="K41:K45">
    <cfRule type="expression" dxfId="61" priority="51">
      <formula>$E41=""</formula>
    </cfRule>
  </conditionalFormatting>
  <conditionalFormatting sqref="K41:K45">
    <cfRule type="expression" dxfId="60" priority="50">
      <formula>$C41&lt;$E$3</formula>
    </cfRule>
  </conditionalFormatting>
  <conditionalFormatting sqref="K41:K45">
    <cfRule type="expression" dxfId="59" priority="49">
      <formula>$E41=""</formula>
    </cfRule>
  </conditionalFormatting>
  <conditionalFormatting sqref="K41:K45">
    <cfRule type="expression" dxfId="58" priority="48">
      <formula>$C41&lt;$E$3</formula>
    </cfRule>
  </conditionalFormatting>
  <conditionalFormatting sqref="K41:K45">
    <cfRule type="expression" dxfId="57" priority="47">
      <formula>$E41=""</formula>
    </cfRule>
  </conditionalFormatting>
  <conditionalFormatting sqref="K41:K45">
    <cfRule type="expression" dxfId="56" priority="46">
      <formula>$C41&lt;$E$3</formula>
    </cfRule>
  </conditionalFormatting>
  <conditionalFormatting sqref="K41:K45">
    <cfRule type="expression" dxfId="55" priority="42">
      <formula>$C41=$E$3</formula>
    </cfRule>
    <cfRule type="expression" dxfId="54" priority="43">
      <formula>$C41&lt;$E$3</formula>
    </cfRule>
    <cfRule type="cellIs" dxfId="53" priority="44" operator="equal">
      <formula>0</formula>
    </cfRule>
    <cfRule type="expression" dxfId="52" priority="45">
      <formula>$C41&gt;$E$3</formula>
    </cfRule>
  </conditionalFormatting>
  <conditionalFormatting sqref="K41:K45">
    <cfRule type="expression" dxfId="51" priority="41">
      <formula>$C41&lt;$E$3</formula>
    </cfRule>
  </conditionalFormatting>
  <conditionalFormatting sqref="K41:K45">
    <cfRule type="expression" dxfId="50" priority="37">
      <formula>$C41=$E$3</formula>
    </cfRule>
    <cfRule type="expression" dxfId="49" priority="38">
      <formula>$C41&lt;$E$3</formula>
    </cfRule>
    <cfRule type="cellIs" dxfId="48" priority="39" operator="equal">
      <formula>0</formula>
    </cfRule>
    <cfRule type="expression" dxfId="47" priority="40">
      <formula>$C41&gt;$E$3</formula>
    </cfRule>
  </conditionalFormatting>
  <conditionalFormatting sqref="K41:K45">
    <cfRule type="expression" dxfId="46" priority="36">
      <formula>$C41&lt;$E$3</formula>
    </cfRule>
  </conditionalFormatting>
  <conditionalFormatting sqref="K41:K45">
    <cfRule type="expression" dxfId="45" priority="32">
      <formula>$C41=$E$3</formula>
    </cfRule>
    <cfRule type="expression" dxfId="44" priority="33">
      <formula>$C41&lt;$E$3</formula>
    </cfRule>
    <cfRule type="cellIs" dxfId="43" priority="34" operator="equal">
      <formula>0</formula>
    </cfRule>
    <cfRule type="expression" dxfId="42" priority="35">
      <formula>$C41&gt;$E$3</formula>
    </cfRule>
  </conditionalFormatting>
  <conditionalFormatting sqref="K41:K45">
    <cfRule type="expression" dxfId="41" priority="31">
      <formula>$C41&lt;$E$3</formula>
    </cfRule>
  </conditionalFormatting>
  <conditionalFormatting sqref="K41:K45">
    <cfRule type="expression" dxfId="40" priority="27">
      <formula>$C41=$E$3</formula>
    </cfRule>
    <cfRule type="expression" dxfId="39" priority="28">
      <formula>$C41&lt;$E$3</formula>
    </cfRule>
    <cfRule type="cellIs" dxfId="38" priority="29" operator="equal">
      <formula>0</formula>
    </cfRule>
    <cfRule type="expression" dxfId="37" priority="30">
      <formula>$C41&gt;$E$3</formula>
    </cfRule>
  </conditionalFormatting>
  <conditionalFormatting sqref="K41:K45">
    <cfRule type="expression" dxfId="36" priority="26">
      <formula>$E41=""</formula>
    </cfRule>
  </conditionalFormatting>
  <conditionalFormatting sqref="K41:K45">
    <cfRule type="expression" dxfId="35" priority="25">
      <formula>$C41&lt;$E$3</formula>
    </cfRule>
  </conditionalFormatting>
  <conditionalFormatting sqref="K41:K45">
    <cfRule type="expression" dxfId="34" priority="24">
      <formula>$E41=""</formula>
    </cfRule>
  </conditionalFormatting>
  <conditionalFormatting sqref="K41:K45">
    <cfRule type="expression" dxfId="33" priority="23">
      <formula>$E41=""</formula>
    </cfRule>
  </conditionalFormatting>
  <conditionalFormatting sqref="K41:K45">
    <cfRule type="expression" dxfId="32" priority="22">
      <formula>$C41&lt;$E$3</formula>
    </cfRule>
  </conditionalFormatting>
  <conditionalFormatting sqref="K41:K45">
    <cfRule type="expression" dxfId="31" priority="21">
      <formula>$E41=""</formula>
    </cfRule>
  </conditionalFormatting>
  <conditionalFormatting sqref="K41:K45">
    <cfRule type="expression" dxfId="30" priority="20">
      <formula>$C41&lt;$E$3</formula>
    </cfRule>
  </conditionalFormatting>
  <conditionalFormatting sqref="K41:K45">
    <cfRule type="expression" dxfId="29" priority="19">
      <formula>$E41=""</formula>
    </cfRule>
  </conditionalFormatting>
  <conditionalFormatting sqref="K41:K45">
    <cfRule type="expression" dxfId="28" priority="18">
      <formula>$C41&lt;$E$3</formula>
    </cfRule>
  </conditionalFormatting>
  <conditionalFormatting sqref="K41:K45">
    <cfRule type="expression" dxfId="27" priority="17">
      <formula>$E41=""</formula>
    </cfRule>
  </conditionalFormatting>
  <conditionalFormatting sqref="K41:K47">
    <cfRule type="expression" dxfId="26" priority="15">
      <formula>$C41&lt;$E$3</formula>
    </cfRule>
  </conditionalFormatting>
  <conditionalFormatting sqref="K41:K47">
    <cfRule type="expression" dxfId="25" priority="12">
      <formula>$C41=$E$3</formula>
    </cfRule>
    <cfRule type="expression" dxfId="24" priority="13">
      <formula>$C41&lt;$E$3</formula>
    </cfRule>
    <cfRule type="cellIs" dxfId="23" priority="14" operator="equal">
      <formula>0</formula>
    </cfRule>
    <cfRule type="expression" dxfId="22" priority="16">
      <formula>$C41&gt;$E$3</formula>
    </cfRule>
  </conditionalFormatting>
  <conditionalFormatting sqref="K41:K47">
    <cfRule type="expression" dxfId="21" priority="11">
      <formula>$E41=""</formula>
    </cfRule>
  </conditionalFormatting>
  <conditionalFormatting sqref="K41:K47">
    <cfRule type="expression" dxfId="20" priority="10">
      <formula>$E41=""</formula>
    </cfRule>
  </conditionalFormatting>
  <conditionalFormatting sqref="K41:K47">
    <cfRule type="expression" dxfId="19" priority="9">
      <formula>$E41=""</formula>
    </cfRule>
  </conditionalFormatting>
  <conditionalFormatting sqref="N20 N18 N16">
    <cfRule type="cellIs" dxfId="18" priority="8" stopIfTrue="1" operator="lessThan">
      <formula>0</formula>
    </cfRule>
  </conditionalFormatting>
  <conditionalFormatting sqref="N23 N27:N28">
    <cfRule type="cellIs" dxfId="17" priority="7" stopIfTrue="1" operator="lessThan">
      <formula>0</formula>
    </cfRule>
  </conditionalFormatting>
  <conditionalFormatting sqref="N32:N34 N36 N38">
    <cfRule type="cellIs" dxfId="16" priority="6" stopIfTrue="1" operator="lessThan">
      <formula>0</formula>
    </cfRule>
  </conditionalFormatting>
  <conditionalFormatting sqref="N41:N47">
    <cfRule type="cellIs" dxfId="15" priority="5" stopIfTrue="1" operator="lessThan">
      <formula>0</formula>
    </cfRule>
  </conditionalFormatting>
  <conditionalFormatting sqref="N29">
    <cfRule type="cellIs" dxfId="14" priority="4" stopIfTrue="1" operator="lessThan">
      <formula>0</formula>
    </cfRule>
  </conditionalFormatting>
  <conditionalFormatting sqref="N25">
    <cfRule type="cellIs" dxfId="13" priority="3" stopIfTrue="1" operator="lessThan">
      <formula>0</formula>
    </cfRule>
  </conditionalFormatting>
  <conditionalFormatting sqref="N26">
    <cfRule type="cellIs" dxfId="12" priority="2" stopIfTrue="1" operator="lessThan">
      <formula>0</formula>
    </cfRule>
  </conditionalFormatting>
  <conditionalFormatting sqref="N24">
    <cfRule type="cellIs" dxfId="11" priority="1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80"/>
  <sheetViews>
    <sheetView tabSelected="1" zoomScale="108" zoomScaleNormal="108" workbookViewId="0">
      <selection activeCell="H5" sqref="H5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7.83203125" customWidth="1"/>
    <col min="11" max="11" width="8.1640625" hidden="1" customWidth="1"/>
    <col min="12" max="12" width="7.832031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0" width="18" customWidth="1"/>
    <col min="31" max="31" width="10.33203125" bestFit="1" customWidth="1"/>
    <col min="32" max="32" width="11.1640625" bestFit="1" customWidth="1"/>
    <col min="33" max="33" width="15.1640625" customWidth="1"/>
    <col min="34" max="34" width="8.83203125" customWidth="1"/>
    <col min="35" max="36" width="18.33203125" customWidth="1"/>
    <col min="37" max="37" width="21" customWidth="1"/>
  </cols>
  <sheetData>
    <row r="1" spans="1:35" ht="53" customHeight="1" thickBot="1">
      <c r="A1" s="42">
        <v>1</v>
      </c>
      <c r="B1" s="40" t="s">
        <v>0</v>
      </c>
      <c r="C1" s="41"/>
      <c r="D1" s="41"/>
      <c r="E1" s="193" t="str">
        <f>VLOOKUP(A1,'MY STATS'!$B$32:$E$43,4)</f>
        <v>Jan.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349" t="s">
        <v>25</v>
      </c>
      <c r="P1" s="272" t="s">
        <v>26</v>
      </c>
      <c r="Q1" s="272" t="s">
        <v>26</v>
      </c>
      <c r="R1" s="272" t="s">
        <v>32</v>
      </c>
      <c r="S1" s="272" t="s">
        <v>115</v>
      </c>
      <c r="T1" s="272"/>
      <c r="U1" s="272"/>
      <c r="V1" s="272" t="s">
        <v>84</v>
      </c>
      <c r="W1" s="272" t="s">
        <v>85</v>
      </c>
      <c r="X1" s="272" t="s">
        <v>24</v>
      </c>
      <c r="Y1" s="272" t="s">
        <v>21</v>
      </c>
      <c r="Z1" s="272" t="s">
        <v>22</v>
      </c>
      <c r="AA1" s="272" t="s">
        <v>23</v>
      </c>
      <c r="AB1" s="272"/>
      <c r="AC1" s="272"/>
      <c r="AD1" s="356" t="s">
        <v>466</v>
      </c>
      <c r="AE1" s="489" t="s">
        <v>487</v>
      </c>
      <c r="AF1" s="490"/>
      <c r="AG1" s="312" t="s">
        <v>465</v>
      </c>
    </row>
    <row r="2" spans="1:35" ht="32" hidden="1" customHeight="1" thickTop="1" thickBot="1">
      <c r="A2" s="54" t="s">
        <v>64</v>
      </c>
      <c r="B2" s="21">
        <f>VLOOKUP(A1,'MY STATS'!$B$32:$G$43,3)</f>
        <v>45292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272"/>
      <c r="P2" s="272"/>
      <c r="Q2" s="272"/>
      <c r="R2" s="272">
        <f>'MY STATS'!A16</f>
        <v>3</v>
      </c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353"/>
      <c r="AE2" s="320"/>
      <c r="AF2" s="321"/>
      <c r="AG2" s="313"/>
    </row>
    <row r="3" spans="1:35" ht="17" hidden="1" customHeight="1" thickTop="1" thickBot="1">
      <c r="A3" s="75">
        <f>'MY STATS'!D44</f>
        <v>45658</v>
      </c>
      <c r="B3" s="21">
        <f>VLOOKUP(A1+1,'MY STATS'!$B$32:$G$44,3)-1</f>
        <v>45322</v>
      </c>
      <c r="C3" s="21">
        <f>VLOOKUP(A1,'MY STATS'!$B$32:$G$43,2)</f>
        <v>45292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353"/>
      <c r="AE3" s="320"/>
      <c r="AF3" s="321"/>
      <c r="AG3" s="313"/>
    </row>
    <row r="4" spans="1:35" ht="1" customHeight="1" thickTop="1" thickBot="1">
      <c r="A4"/>
      <c r="C4" s="28">
        <f>C3-1</f>
        <v>45291</v>
      </c>
      <c r="D4"/>
      <c r="O4" s="350"/>
      <c r="P4" s="272">
        <f t="shared" ref="P4:P11" si="0">H$56</f>
        <v>34759.549826646951</v>
      </c>
      <c r="Q4" s="272">
        <f>IF(R$2=3,P4,IF(R$2=2,P4*1.0936,IF(R$2=1,P4*0.000568181818*1.0936133,"")))</f>
        <v>34759.549826646951</v>
      </c>
      <c r="R4" s="272"/>
      <c r="S4" s="272"/>
      <c r="T4" s="272"/>
      <c r="U4" s="272"/>
      <c r="V4" s="272"/>
      <c r="W4" s="272"/>
      <c r="X4" s="272"/>
      <c r="Y4" s="272"/>
      <c r="Z4" s="272">
        <v>0</v>
      </c>
      <c r="AA4" s="272"/>
      <c r="AB4" s="272">
        <v>0</v>
      </c>
      <c r="AC4" s="272"/>
      <c r="AD4" s="353"/>
      <c r="AE4" s="322"/>
      <c r="AF4" s="323"/>
      <c r="AG4" s="313"/>
    </row>
    <row r="5" spans="1:35">
      <c r="A5" s="22"/>
      <c r="B5" s="19">
        <f>IF(B$2&gt;C5,0,C5)</f>
        <v>45292</v>
      </c>
      <c r="C5" s="28">
        <f>C3</f>
        <v>45292</v>
      </c>
      <c r="D5" s="20">
        <f t="shared" ref="D5:D51" ca="1" si="1">TODAY()-C5</f>
        <v>-1</v>
      </c>
      <c r="E5" s="91" t="str">
        <f>IF(B5=0,"","Monday")</f>
        <v>Monday</v>
      </c>
      <c r="F5" s="45"/>
      <c r="G5" s="46"/>
      <c r="H5" s="46"/>
      <c r="I5" s="278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272">
        <f t="shared" ref="O5:O51" si="3">IF(B5=0,"",(F$3-G$3)/(A$3-B$2)+0.1)</f>
        <v>1121.3642609495646</v>
      </c>
      <c r="P5" s="272">
        <f t="shared" si="0"/>
        <v>34759.549826646951</v>
      </c>
      <c r="Q5" s="272">
        <f t="shared" ref="Q5:Q51" si="4">IF(R$2=3,P5,IF(R$2=2,P5*1.0936,IF(R$2=1,P5*0.000568181818*1.0936133,"")))</f>
        <v>34759.549826646951</v>
      </c>
      <c r="R5" s="272">
        <f t="shared" ref="R5:R11" si="5">IF(R$2=3,H5+G5/1.0936133+F5/0.0006213712,IF(R$2=2,H5*1.0936133+G5+F5/0.0005681818,IF(R$2=1,H5*0.0005681818*1.0936133+G5*0.0005681818+F5,"")))</f>
        <v>0</v>
      </c>
      <c r="S5" s="272" t="str">
        <f>IF(R5=0,"",R5*IF(L5&gt;0,1,0))</f>
        <v/>
      </c>
      <c r="T5" s="272"/>
      <c r="U5" s="272"/>
      <c r="V5" s="272" t="str">
        <f t="shared" ref="V5:V11" si="6">IF(L5="","",IF(R5=0,"",IF(B5=0,"",IF($R$2=3,R5/L5*60/1000,IF($R$2=2,R5/L5*60/1760,IF($R$2=1,R5/L5*60,""))))))</f>
        <v/>
      </c>
      <c r="W5" s="272" t="str">
        <f t="shared" ref="W5:W11" si="7">IF(R5=0,"",IF(L5="","",V5*L5))</f>
        <v/>
      </c>
      <c r="X5" s="272">
        <f t="shared" ref="X5:Z11" si="8">F5+X4</f>
        <v>0</v>
      </c>
      <c r="Y5" s="272">
        <f t="shared" si="8"/>
        <v>0</v>
      </c>
      <c r="Z5" s="272">
        <f t="shared" si="8"/>
        <v>0</v>
      </c>
      <c r="AA5" s="272">
        <f t="shared" ref="AA5:AA51" si="9">Z5/1000+Y5/1093.6133+X5/0.621371192</f>
        <v>0</v>
      </c>
      <c r="AB5" s="272">
        <f>R5</f>
        <v>0</v>
      </c>
      <c r="AC5" s="272"/>
      <c r="AD5" s="354">
        <v>2000</v>
      </c>
      <c r="AE5" s="324"/>
      <c r="AF5" s="325"/>
      <c r="AG5" s="314">
        <f t="shared" ref="AG5:AG14" si="10">IF(AF5&lt;&gt;"",AF5,AE5*(0.000568181818*1.0936133))</f>
        <v>0</v>
      </c>
      <c r="AH5" s="311"/>
    </row>
    <row r="6" spans="1:35">
      <c r="A6" s="23"/>
      <c r="B6" s="4">
        <f t="shared" ref="B6:B11" si="11">IF(B$2&gt;C6,0,C6)</f>
        <v>45293</v>
      </c>
      <c r="C6" s="29">
        <f>C3+1</f>
        <v>45293</v>
      </c>
      <c r="D6" s="6">
        <f t="shared" ca="1" si="1"/>
        <v>-2</v>
      </c>
      <c r="E6" s="90" t="str">
        <f>IF(B6=0,"","Tuesday")</f>
        <v>Tuesday</v>
      </c>
      <c r="F6" s="45"/>
      <c r="G6" s="46"/>
      <c r="H6" s="46"/>
      <c r="I6" s="279"/>
      <c r="J6" s="46"/>
      <c r="K6" s="152" t="str">
        <f t="shared" ref="K6:K11" si="12">IF(R6=0,"",IF(L6="","",J6))</f>
        <v/>
      </c>
      <c r="L6" s="46"/>
      <c r="M6" s="46" t="str">
        <f t="shared" si="2"/>
        <v/>
      </c>
      <c r="N6" s="301"/>
      <c r="O6" s="272">
        <f t="shared" si="3"/>
        <v>1121.3642609495646</v>
      </c>
      <c r="P6" s="272">
        <f t="shared" si="0"/>
        <v>34759.549826646951</v>
      </c>
      <c r="Q6" s="272">
        <f t="shared" si="4"/>
        <v>34759.549826646951</v>
      </c>
      <c r="R6" s="272">
        <f t="shared" si="5"/>
        <v>0</v>
      </c>
      <c r="S6" s="272" t="str">
        <f t="shared" ref="S6:S51" si="13">IF(R6=0,"",R6*IF(L6&gt;0,1,0))</f>
        <v/>
      </c>
      <c r="T6" s="272"/>
      <c r="U6" s="272"/>
      <c r="V6" s="272" t="str">
        <f t="shared" si="6"/>
        <v/>
      </c>
      <c r="W6" s="272" t="str">
        <f t="shared" si="7"/>
        <v/>
      </c>
      <c r="X6" s="272">
        <f t="shared" si="8"/>
        <v>0</v>
      </c>
      <c r="Y6" s="272">
        <f t="shared" si="8"/>
        <v>0</v>
      </c>
      <c r="Z6" s="272">
        <f t="shared" si="8"/>
        <v>0</v>
      </c>
      <c r="AA6" s="272">
        <f t="shared" si="9"/>
        <v>0</v>
      </c>
      <c r="AB6" s="272">
        <f t="shared" ref="AB6:AB51" si="14">AB5+R6</f>
        <v>0</v>
      </c>
      <c r="AC6" s="272"/>
      <c r="AD6" s="354">
        <v>2001</v>
      </c>
      <c r="AE6" s="326"/>
      <c r="AF6" s="327"/>
      <c r="AG6" s="315">
        <f t="shared" si="10"/>
        <v>0</v>
      </c>
      <c r="AH6" s="311"/>
      <c r="AI6" s="316"/>
    </row>
    <row r="7" spans="1:35">
      <c r="A7" s="23"/>
      <c r="B7" s="4">
        <f t="shared" si="11"/>
        <v>45294</v>
      </c>
      <c r="C7" s="29">
        <f>C3+2</f>
        <v>45294</v>
      </c>
      <c r="D7" s="6">
        <f t="shared" ca="1" si="1"/>
        <v>-3</v>
      </c>
      <c r="E7" s="90" t="str">
        <f>IF(B7=0,"","Wednesday")</f>
        <v>Wednesday</v>
      </c>
      <c r="F7" s="45"/>
      <c r="G7" s="46"/>
      <c r="H7" s="46"/>
      <c r="I7" s="279"/>
      <c r="J7" s="46"/>
      <c r="K7" s="152" t="str">
        <f t="shared" si="12"/>
        <v/>
      </c>
      <c r="L7" s="46"/>
      <c r="M7" s="46" t="str">
        <f t="shared" si="2"/>
        <v/>
      </c>
      <c r="N7" s="310"/>
      <c r="O7" s="272">
        <f t="shared" si="3"/>
        <v>1121.3642609495646</v>
      </c>
      <c r="P7" s="272">
        <f t="shared" si="0"/>
        <v>34759.549826646951</v>
      </c>
      <c r="Q7" s="272">
        <f t="shared" si="4"/>
        <v>34759.549826646951</v>
      </c>
      <c r="R7" s="272">
        <f t="shared" si="5"/>
        <v>0</v>
      </c>
      <c r="S7" s="272" t="str">
        <f t="shared" si="13"/>
        <v/>
      </c>
      <c r="T7" s="272"/>
      <c r="U7" s="272"/>
      <c r="V7" s="272" t="str">
        <f t="shared" si="6"/>
        <v/>
      </c>
      <c r="W7" s="272" t="str">
        <f t="shared" si="7"/>
        <v/>
      </c>
      <c r="X7" s="272">
        <f t="shared" si="8"/>
        <v>0</v>
      </c>
      <c r="Y7" s="272">
        <f t="shared" si="8"/>
        <v>0</v>
      </c>
      <c r="Z7" s="272">
        <f>H7+Z6</f>
        <v>0</v>
      </c>
      <c r="AA7" s="272">
        <f t="shared" si="9"/>
        <v>0</v>
      </c>
      <c r="AB7" s="272">
        <f t="shared" si="14"/>
        <v>0</v>
      </c>
      <c r="AC7" s="272"/>
      <c r="AD7" s="354">
        <v>2002</v>
      </c>
      <c r="AE7" s="326"/>
      <c r="AF7" s="327"/>
      <c r="AG7" s="315">
        <f t="shared" si="10"/>
        <v>0</v>
      </c>
      <c r="AH7" s="311"/>
    </row>
    <row r="8" spans="1:35">
      <c r="A8" s="23"/>
      <c r="B8" s="4">
        <f t="shared" si="11"/>
        <v>45295</v>
      </c>
      <c r="C8" s="29">
        <f>C3+3</f>
        <v>45295</v>
      </c>
      <c r="D8" s="6">
        <f t="shared" ca="1" si="1"/>
        <v>-4</v>
      </c>
      <c r="E8" s="90" t="str">
        <f>IF(B8=0,"","Thursday")</f>
        <v>Thursday</v>
      </c>
      <c r="F8" s="45"/>
      <c r="G8" s="46"/>
      <c r="H8" s="46"/>
      <c r="I8" s="279"/>
      <c r="J8" s="46"/>
      <c r="K8" s="152" t="str">
        <f t="shared" si="12"/>
        <v/>
      </c>
      <c r="L8" s="46"/>
      <c r="M8" s="46" t="str">
        <f t="shared" si="2"/>
        <v/>
      </c>
      <c r="N8" s="310"/>
      <c r="O8" s="272">
        <f t="shared" si="3"/>
        <v>1121.3642609495646</v>
      </c>
      <c r="P8" s="272">
        <f t="shared" si="0"/>
        <v>34759.549826646951</v>
      </c>
      <c r="Q8" s="272">
        <f t="shared" si="4"/>
        <v>34759.549826646951</v>
      </c>
      <c r="R8" s="272">
        <f t="shared" si="5"/>
        <v>0</v>
      </c>
      <c r="S8" s="272" t="str">
        <f t="shared" si="13"/>
        <v/>
      </c>
      <c r="T8" s="272"/>
      <c r="U8" s="272"/>
      <c r="V8" s="272" t="str">
        <f t="shared" si="6"/>
        <v/>
      </c>
      <c r="W8" s="272" t="str">
        <f t="shared" si="7"/>
        <v/>
      </c>
      <c r="X8" s="272">
        <f t="shared" si="8"/>
        <v>0</v>
      </c>
      <c r="Y8" s="272">
        <f t="shared" si="8"/>
        <v>0</v>
      </c>
      <c r="Z8" s="272">
        <f>H8+Z7</f>
        <v>0</v>
      </c>
      <c r="AA8" s="272">
        <f t="shared" si="9"/>
        <v>0</v>
      </c>
      <c r="AB8" s="272">
        <f t="shared" si="14"/>
        <v>0</v>
      </c>
      <c r="AC8" s="272"/>
      <c r="AD8" s="354">
        <v>2003</v>
      </c>
      <c r="AE8" s="326"/>
      <c r="AF8" s="327"/>
      <c r="AG8" s="315">
        <f t="shared" si="10"/>
        <v>0</v>
      </c>
      <c r="AH8" s="311"/>
    </row>
    <row r="9" spans="1:35">
      <c r="A9" s="23"/>
      <c r="B9" s="4">
        <f t="shared" si="11"/>
        <v>45296</v>
      </c>
      <c r="C9" s="29">
        <f>C3+4</f>
        <v>45296</v>
      </c>
      <c r="D9" s="6">
        <f t="shared" ca="1" si="1"/>
        <v>-5</v>
      </c>
      <c r="E9" s="90" t="str">
        <f>IF(B9=0,"","Friday")</f>
        <v>Friday</v>
      </c>
      <c r="F9" s="45"/>
      <c r="G9" s="46"/>
      <c r="H9" s="46"/>
      <c r="I9" s="279"/>
      <c r="J9" s="46"/>
      <c r="K9" s="152" t="str">
        <f t="shared" si="12"/>
        <v/>
      </c>
      <c r="L9" s="46"/>
      <c r="M9" s="46" t="str">
        <f t="shared" si="2"/>
        <v/>
      </c>
      <c r="N9" s="301"/>
      <c r="O9" s="272">
        <f t="shared" si="3"/>
        <v>1121.3642609495646</v>
      </c>
      <c r="P9" s="272">
        <f t="shared" si="0"/>
        <v>34759.549826646951</v>
      </c>
      <c r="Q9" s="272">
        <f t="shared" si="4"/>
        <v>34759.549826646951</v>
      </c>
      <c r="R9" s="272">
        <f t="shared" si="5"/>
        <v>0</v>
      </c>
      <c r="S9" s="272" t="str">
        <f t="shared" si="13"/>
        <v/>
      </c>
      <c r="T9" s="272"/>
      <c r="U9" s="272"/>
      <c r="V9" s="272" t="str">
        <f t="shared" si="6"/>
        <v/>
      </c>
      <c r="W9" s="272" t="str">
        <f t="shared" si="7"/>
        <v/>
      </c>
      <c r="X9" s="272">
        <f t="shared" si="8"/>
        <v>0</v>
      </c>
      <c r="Y9" s="272">
        <f t="shared" si="8"/>
        <v>0</v>
      </c>
      <c r="Z9" s="272">
        <f>H9+Z8</f>
        <v>0</v>
      </c>
      <c r="AA9" s="272">
        <f t="shared" si="9"/>
        <v>0</v>
      </c>
      <c r="AB9" s="272">
        <f t="shared" si="14"/>
        <v>0</v>
      </c>
      <c r="AC9" s="272"/>
      <c r="AD9" s="354">
        <v>2004</v>
      </c>
      <c r="AE9" s="326"/>
      <c r="AF9" s="327"/>
      <c r="AG9" s="315">
        <f t="shared" si="10"/>
        <v>0</v>
      </c>
      <c r="AH9" s="311"/>
      <c r="AI9" s="277"/>
    </row>
    <row r="10" spans="1:35">
      <c r="A10" s="23"/>
      <c r="B10" s="4">
        <f t="shared" si="11"/>
        <v>45297</v>
      </c>
      <c r="C10" s="29">
        <f>C3+5</f>
        <v>45297</v>
      </c>
      <c r="D10" s="6">
        <f t="shared" ca="1" si="1"/>
        <v>-6</v>
      </c>
      <c r="E10" s="90" t="str">
        <f>IF(B10=0,"","Saturday")</f>
        <v>Saturday</v>
      </c>
      <c r="F10" s="45"/>
      <c r="G10" s="46"/>
      <c r="H10" s="46"/>
      <c r="I10" s="279"/>
      <c r="J10" s="46"/>
      <c r="K10" s="152" t="str">
        <f t="shared" si="12"/>
        <v/>
      </c>
      <c r="L10" s="46"/>
      <c r="M10" s="46" t="str">
        <f t="shared" si="2"/>
        <v/>
      </c>
      <c r="N10" s="310"/>
      <c r="O10" s="272">
        <f t="shared" si="3"/>
        <v>1121.3642609495646</v>
      </c>
      <c r="P10" s="272">
        <f t="shared" si="0"/>
        <v>34759.549826646951</v>
      </c>
      <c r="Q10" s="272">
        <f t="shared" si="4"/>
        <v>34759.549826646951</v>
      </c>
      <c r="R10" s="272">
        <f t="shared" si="5"/>
        <v>0</v>
      </c>
      <c r="S10" s="272" t="str">
        <f t="shared" si="13"/>
        <v/>
      </c>
      <c r="T10" s="272"/>
      <c r="U10" s="272"/>
      <c r="V10" s="272" t="str">
        <f t="shared" si="6"/>
        <v/>
      </c>
      <c r="W10" s="272" t="str">
        <f t="shared" si="7"/>
        <v/>
      </c>
      <c r="X10" s="272">
        <f t="shared" si="8"/>
        <v>0</v>
      </c>
      <c r="Y10" s="272">
        <f t="shared" si="8"/>
        <v>0</v>
      </c>
      <c r="Z10" s="272">
        <f>H10+Z9</f>
        <v>0</v>
      </c>
      <c r="AA10" s="272">
        <f t="shared" si="9"/>
        <v>0</v>
      </c>
      <c r="AB10" s="272">
        <f t="shared" si="14"/>
        <v>0</v>
      </c>
      <c r="AC10" s="272"/>
      <c r="AD10" s="354">
        <v>2005</v>
      </c>
      <c r="AE10" s="326"/>
      <c r="AF10" s="327"/>
      <c r="AG10" s="315">
        <f t="shared" si="10"/>
        <v>0</v>
      </c>
      <c r="AH10" s="311"/>
    </row>
    <row r="11" spans="1:35" ht="17" thickBot="1">
      <c r="A11" s="23"/>
      <c r="B11" s="43">
        <f t="shared" si="11"/>
        <v>45298</v>
      </c>
      <c r="C11" s="32">
        <f>C3+6</f>
        <v>45298</v>
      </c>
      <c r="D11" s="44">
        <f t="shared" ca="1" si="1"/>
        <v>-7</v>
      </c>
      <c r="E11" s="93" t="str">
        <f>IF(B11=0,"","Sunday")</f>
        <v>Sunday</v>
      </c>
      <c r="F11" s="45"/>
      <c r="G11" s="46"/>
      <c r="H11" s="46"/>
      <c r="I11" s="279"/>
      <c r="J11" s="46"/>
      <c r="K11" s="152" t="str">
        <f t="shared" si="12"/>
        <v/>
      </c>
      <c r="L11" s="46"/>
      <c r="M11" s="46" t="str">
        <f t="shared" si="2"/>
        <v/>
      </c>
      <c r="N11" s="310"/>
      <c r="O11" s="272">
        <f t="shared" si="3"/>
        <v>1121.3642609495646</v>
      </c>
      <c r="P11" s="272">
        <f t="shared" si="0"/>
        <v>34759.549826646951</v>
      </c>
      <c r="Q11" s="272">
        <f t="shared" si="4"/>
        <v>34759.549826646951</v>
      </c>
      <c r="R11" s="272">
        <f t="shared" si="5"/>
        <v>0</v>
      </c>
      <c r="S11" s="272" t="str">
        <f t="shared" si="13"/>
        <v/>
      </c>
      <c r="T11" s="272"/>
      <c r="U11" s="272"/>
      <c r="V11" s="272" t="str">
        <f t="shared" si="6"/>
        <v/>
      </c>
      <c r="W11" s="272" t="str">
        <f t="shared" si="7"/>
        <v/>
      </c>
      <c r="X11" s="272">
        <f t="shared" si="8"/>
        <v>0</v>
      </c>
      <c r="Y11" s="272">
        <f t="shared" si="8"/>
        <v>0</v>
      </c>
      <c r="Z11" s="272">
        <f t="shared" si="8"/>
        <v>0</v>
      </c>
      <c r="AA11" s="272">
        <f>Z11/1000+Y11/1093.6133+X11/0.621371192</f>
        <v>0</v>
      </c>
      <c r="AB11" s="272">
        <f t="shared" si="14"/>
        <v>0</v>
      </c>
      <c r="AC11" s="272"/>
      <c r="AD11" s="354">
        <v>2006</v>
      </c>
      <c r="AE11" s="326"/>
      <c r="AF11" s="327"/>
      <c r="AG11" s="315">
        <f t="shared" si="10"/>
        <v>0</v>
      </c>
      <c r="AH11" s="311"/>
    </row>
    <row r="12" spans="1:35" ht="17" customHeight="1" thickTop="1">
      <c r="A12" s="25"/>
      <c r="B12" s="12"/>
      <c r="C12" s="33"/>
      <c r="D12" s="50">
        <f t="shared" ca="1" si="1"/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19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272" t="str">
        <f t="shared" si="3"/>
        <v/>
      </c>
      <c r="P12" s="272"/>
      <c r="Q12" s="272">
        <f t="shared" si="4"/>
        <v>0</v>
      </c>
      <c r="R12" s="272"/>
      <c r="S12" s="272" t="str">
        <f>IF(R12=0,"",R12*IF(#REF!&gt;0,1,0))</f>
        <v/>
      </c>
      <c r="T12" s="272"/>
      <c r="U12" s="272"/>
      <c r="V12" s="272"/>
      <c r="W12" s="272"/>
      <c r="X12" s="272"/>
      <c r="Y12" s="272"/>
      <c r="Z12" s="272"/>
      <c r="AA12" s="272">
        <f t="shared" si="9"/>
        <v>0</v>
      </c>
      <c r="AB12" s="272">
        <f t="shared" si="14"/>
        <v>0</v>
      </c>
      <c r="AC12" s="272"/>
      <c r="AD12" s="354">
        <v>2007</v>
      </c>
      <c r="AE12" s="326"/>
      <c r="AF12" s="327"/>
      <c r="AG12" s="315">
        <f t="shared" si="10"/>
        <v>0</v>
      </c>
      <c r="AH12" s="311"/>
    </row>
    <row r="13" spans="1:35" ht="17" thickBot="1">
      <c r="A13" s="24"/>
      <c r="B13" s="13"/>
      <c r="C13" s="30"/>
      <c r="D13" s="51">
        <f t="shared" ca="1" si="1"/>
        <v>45291</v>
      </c>
      <c r="E13" s="92" t="s">
        <v>27</v>
      </c>
      <c r="F13" s="52">
        <f>G13*0.0005681818</f>
        <v>4.8774750657015593</v>
      </c>
      <c r="G13" s="53">
        <f>H13*1.0936113</f>
        <v>8584.3563903341492</v>
      </c>
      <c r="H13" s="103">
        <f>SUM($O5:$O11)</f>
        <v>7849.5498266469522</v>
      </c>
      <c r="I13" s="120"/>
      <c r="J13" s="493"/>
      <c r="K13" s="494"/>
      <c r="L13" s="494"/>
      <c r="M13" s="246"/>
      <c r="N13" s="248" t="str">
        <f>IF(R$2=1,"mph",IF(R$2=2,"mph",IF(R$2=3,"km/h","????")))</f>
        <v>km/h</v>
      </c>
      <c r="O13" s="272" t="str">
        <f t="shared" si="3"/>
        <v/>
      </c>
      <c r="P13" s="272"/>
      <c r="Q13" s="272">
        <f t="shared" si="4"/>
        <v>0</v>
      </c>
      <c r="R13" s="272"/>
      <c r="S13" s="272" t="str">
        <f>IF(R13=0,"",R13*IF(#REF!&gt;0,1,0))</f>
        <v/>
      </c>
      <c r="T13" s="272"/>
      <c r="U13" s="272"/>
      <c r="V13" s="272"/>
      <c r="W13" s="272"/>
      <c r="X13" s="272"/>
      <c r="Y13" s="272"/>
      <c r="Z13" s="272"/>
      <c r="AA13" s="272">
        <f t="shared" si="9"/>
        <v>0</v>
      </c>
      <c r="AB13" s="272">
        <f t="shared" si="14"/>
        <v>0</v>
      </c>
      <c r="AC13" s="272"/>
      <c r="AD13" s="354">
        <v>2008</v>
      </c>
      <c r="AE13" s="326"/>
      <c r="AF13" s="327"/>
      <c r="AG13" s="315">
        <f t="shared" si="10"/>
        <v>0</v>
      </c>
      <c r="AH13" s="311"/>
    </row>
    <row r="14" spans="1:35" ht="17" thickTop="1">
      <c r="A14" s="1"/>
      <c r="B14" s="47">
        <f t="shared" ref="B14:B20" si="15">IF(B$2&gt;C14,0,C14)</f>
        <v>45299</v>
      </c>
      <c r="C14" s="31">
        <f>C11+1</f>
        <v>45299</v>
      </c>
      <c r="D14" s="18">
        <f t="shared" ca="1" si="1"/>
        <v>-8</v>
      </c>
      <c r="E14" s="94" t="s">
        <v>1</v>
      </c>
      <c r="F14" s="45"/>
      <c r="G14" s="46"/>
      <c r="H14" s="46"/>
      <c r="I14" s="280"/>
      <c r="J14" s="101"/>
      <c r="K14" s="152" t="str">
        <f t="shared" ref="K14:K20" si="16">IF(R14=0,"",IF(L14="","",J14))</f>
        <v/>
      </c>
      <c r="L14" s="101"/>
      <c r="M14" s="46" t="str">
        <f t="shared" ref="M14:M20" si="17">IF(R14=0,"",IF(J14="","",L14))</f>
        <v/>
      </c>
      <c r="N14" s="310"/>
      <c r="O14" s="272">
        <f t="shared" si="3"/>
        <v>1121.3642609495646</v>
      </c>
      <c r="P14" s="272">
        <f t="shared" ref="P14:P20" si="18">H$56</f>
        <v>34759.549826646951</v>
      </c>
      <c r="Q14" s="272">
        <f t="shared" si="4"/>
        <v>34759.549826646951</v>
      </c>
      <c r="R14" s="272">
        <f>IF(R$2=3,H14+G14/1.0936133+F14/0.0006213712,IF(R$2=2,H14*1.0936133+G14+F14/0.0005681818,IF(R$2=1,H14*0.0005681818*1.0936133+G14*0.0005681818+F14,"")))</f>
        <v>0</v>
      </c>
      <c r="S14" s="272" t="str">
        <f t="shared" si="13"/>
        <v/>
      </c>
      <c r="T14" s="272"/>
      <c r="U14" s="272"/>
      <c r="V14" s="272" t="str">
        <f t="shared" ref="V14:V20" si="19">IF(L14="","",IF(R14=0,"",IF(B14=0,"",IF($R$2=3,R14/L14*60/1000,IF($R$2=2,R14/L14*60/1760,IF($R$2=1,R14/L14*60,""))))))</f>
        <v/>
      </c>
      <c r="W14" s="272" t="str">
        <f t="shared" ref="W14:W20" si="20">IF(R14=0,"",IF(L14="","",V14*L14))</f>
        <v/>
      </c>
      <c r="X14" s="272">
        <f>F14+X11</f>
        <v>0</v>
      </c>
      <c r="Y14" s="272">
        <f>G14+Y11</f>
        <v>0</v>
      </c>
      <c r="Z14" s="272">
        <f>H14+Z11</f>
        <v>0</v>
      </c>
      <c r="AA14" s="272">
        <f t="shared" si="9"/>
        <v>0</v>
      </c>
      <c r="AB14" s="272">
        <f t="shared" si="14"/>
        <v>0</v>
      </c>
      <c r="AC14" s="272"/>
      <c r="AD14" s="354">
        <v>2009</v>
      </c>
      <c r="AE14" s="326"/>
      <c r="AF14" s="327"/>
      <c r="AG14" s="315">
        <f t="shared" si="10"/>
        <v>0</v>
      </c>
      <c r="AH14" s="311"/>
    </row>
    <row r="15" spans="1:35">
      <c r="A15" s="1"/>
      <c r="B15" s="4">
        <f t="shared" si="15"/>
        <v>45300</v>
      </c>
      <c r="C15" s="29">
        <f t="shared" ref="C15:C20" si="21">C14+1</f>
        <v>45300</v>
      </c>
      <c r="D15" s="6">
        <f t="shared" ca="1" si="1"/>
        <v>-9</v>
      </c>
      <c r="E15" s="90" t="s">
        <v>2</v>
      </c>
      <c r="F15" s="45"/>
      <c r="G15" s="46"/>
      <c r="H15" s="46"/>
      <c r="I15" s="279"/>
      <c r="J15" s="46"/>
      <c r="K15" s="152" t="str">
        <f t="shared" si="16"/>
        <v/>
      </c>
      <c r="L15" s="46"/>
      <c r="M15" s="46" t="str">
        <f t="shared" si="17"/>
        <v/>
      </c>
      <c r="N15" s="310"/>
      <c r="O15" s="272">
        <f t="shared" si="3"/>
        <v>1121.3642609495646</v>
      </c>
      <c r="P15" s="272">
        <f t="shared" si="18"/>
        <v>34759.549826646951</v>
      </c>
      <c r="Q15" s="272">
        <f t="shared" si="4"/>
        <v>34759.549826646951</v>
      </c>
      <c r="R15" s="272">
        <f t="shared" ref="R15:R20" si="22">IF(R$2=3,H15+G15/1.0936133+F15/0.0006213712,IF(R$2=2,H15*1.0936133+G15+F15/0.0005681818,IF(R$2=1,H15*0.0005681818*1.0936133+G15*0.0005681818+F15,"")))</f>
        <v>0</v>
      </c>
      <c r="S15" s="272" t="str">
        <f t="shared" si="13"/>
        <v/>
      </c>
      <c r="T15" s="272"/>
      <c r="U15" s="272"/>
      <c r="V15" s="272" t="str">
        <f t="shared" si="19"/>
        <v/>
      </c>
      <c r="W15" s="272" t="str">
        <f t="shared" si="20"/>
        <v/>
      </c>
      <c r="X15" s="272">
        <f t="shared" ref="X15:Z20" si="23">F15+X14</f>
        <v>0</v>
      </c>
      <c r="Y15" s="272">
        <f t="shared" si="23"/>
        <v>0</v>
      </c>
      <c r="Z15" s="272">
        <f t="shared" si="23"/>
        <v>0</v>
      </c>
      <c r="AA15" s="272">
        <f t="shared" si="9"/>
        <v>0</v>
      </c>
      <c r="AB15" s="272">
        <f t="shared" si="14"/>
        <v>0</v>
      </c>
      <c r="AC15" s="272"/>
      <c r="AD15" s="354">
        <v>2010</v>
      </c>
      <c r="AE15" s="328"/>
      <c r="AF15" s="327"/>
      <c r="AG15" s="315">
        <f t="shared" ref="AG15:AG25" si="24">IF(AF15&lt;&gt;"",AF15,AE15*(0.000568181818*1.0936133))</f>
        <v>0</v>
      </c>
      <c r="AH15" s="311"/>
    </row>
    <row r="16" spans="1:35">
      <c r="A16" s="1"/>
      <c r="B16" s="4">
        <f t="shared" si="15"/>
        <v>45301</v>
      </c>
      <c r="C16" s="29">
        <f t="shared" si="21"/>
        <v>45301</v>
      </c>
      <c r="D16" s="6">
        <f t="shared" ca="1" si="1"/>
        <v>-10</v>
      </c>
      <c r="E16" s="90" t="s">
        <v>3</v>
      </c>
      <c r="F16" s="45"/>
      <c r="G16" s="46"/>
      <c r="H16" s="46"/>
      <c r="I16" s="279"/>
      <c r="J16" s="46"/>
      <c r="K16" s="152" t="str">
        <f t="shared" si="16"/>
        <v/>
      </c>
      <c r="L16" s="46"/>
      <c r="M16" s="46" t="str">
        <f t="shared" si="17"/>
        <v/>
      </c>
      <c r="N16" s="301"/>
      <c r="O16" s="272">
        <f t="shared" si="3"/>
        <v>1121.3642609495646</v>
      </c>
      <c r="P16" s="272">
        <f t="shared" si="18"/>
        <v>34759.549826646951</v>
      </c>
      <c r="Q16" s="272">
        <f t="shared" si="4"/>
        <v>34759.549826646951</v>
      </c>
      <c r="R16" s="272">
        <f t="shared" si="22"/>
        <v>0</v>
      </c>
      <c r="S16" s="272" t="str">
        <f t="shared" si="13"/>
        <v/>
      </c>
      <c r="T16" s="272"/>
      <c r="U16" s="272"/>
      <c r="V16" s="272" t="str">
        <f t="shared" si="19"/>
        <v/>
      </c>
      <c r="W16" s="272" t="str">
        <f t="shared" si="20"/>
        <v/>
      </c>
      <c r="X16" s="272">
        <f t="shared" si="23"/>
        <v>0</v>
      </c>
      <c r="Y16" s="272">
        <f t="shared" si="23"/>
        <v>0</v>
      </c>
      <c r="Z16" s="272">
        <f t="shared" si="23"/>
        <v>0</v>
      </c>
      <c r="AA16" s="272">
        <f t="shared" si="9"/>
        <v>0</v>
      </c>
      <c r="AB16" s="272">
        <f t="shared" si="14"/>
        <v>0</v>
      </c>
      <c r="AC16" s="272"/>
      <c r="AD16" s="354">
        <v>2011</v>
      </c>
      <c r="AE16" s="328"/>
      <c r="AF16" s="327"/>
      <c r="AG16" s="315">
        <f t="shared" si="24"/>
        <v>0</v>
      </c>
      <c r="AH16" s="311"/>
    </row>
    <row r="17" spans="1:33">
      <c r="A17" s="1"/>
      <c r="B17" s="4">
        <f t="shared" si="15"/>
        <v>45302</v>
      </c>
      <c r="C17" s="29">
        <f t="shared" si="21"/>
        <v>45302</v>
      </c>
      <c r="D17" s="6">
        <f t="shared" ca="1" si="1"/>
        <v>-11</v>
      </c>
      <c r="E17" s="90" t="s">
        <v>4</v>
      </c>
      <c r="F17" s="45"/>
      <c r="G17" s="46"/>
      <c r="H17" s="46"/>
      <c r="I17" s="279"/>
      <c r="J17" s="46"/>
      <c r="K17" s="152" t="str">
        <f t="shared" si="16"/>
        <v/>
      </c>
      <c r="L17" s="46"/>
      <c r="M17" s="46" t="str">
        <f t="shared" si="17"/>
        <v/>
      </c>
      <c r="N17" s="310"/>
      <c r="O17" s="272">
        <f t="shared" si="3"/>
        <v>1121.3642609495646</v>
      </c>
      <c r="P17" s="272">
        <f t="shared" si="18"/>
        <v>34759.549826646951</v>
      </c>
      <c r="Q17" s="272">
        <f t="shared" si="4"/>
        <v>34759.549826646951</v>
      </c>
      <c r="R17" s="272">
        <f t="shared" si="22"/>
        <v>0</v>
      </c>
      <c r="S17" s="272" t="str">
        <f t="shared" si="13"/>
        <v/>
      </c>
      <c r="T17" s="272"/>
      <c r="U17" s="272"/>
      <c r="V17" s="272" t="str">
        <f t="shared" si="19"/>
        <v/>
      </c>
      <c r="W17" s="272" t="str">
        <f t="shared" si="20"/>
        <v/>
      </c>
      <c r="X17" s="272">
        <f t="shared" si="23"/>
        <v>0</v>
      </c>
      <c r="Y17" s="272">
        <f t="shared" si="23"/>
        <v>0</v>
      </c>
      <c r="Z17" s="272">
        <f t="shared" si="23"/>
        <v>0</v>
      </c>
      <c r="AA17" s="272">
        <f t="shared" si="9"/>
        <v>0</v>
      </c>
      <c r="AB17" s="272">
        <f t="shared" si="14"/>
        <v>0</v>
      </c>
      <c r="AC17" s="272"/>
      <c r="AD17" s="354">
        <v>2012</v>
      </c>
      <c r="AE17" s="328"/>
      <c r="AF17" s="327"/>
      <c r="AG17" s="315">
        <f t="shared" si="24"/>
        <v>0</v>
      </c>
    </row>
    <row r="18" spans="1:33">
      <c r="A18" s="1"/>
      <c r="B18" s="4">
        <f t="shared" si="15"/>
        <v>45303</v>
      </c>
      <c r="C18" s="29">
        <f t="shared" si="21"/>
        <v>45303</v>
      </c>
      <c r="D18" s="6">
        <f t="shared" ca="1" si="1"/>
        <v>-12</v>
      </c>
      <c r="E18" s="90" t="s">
        <v>5</v>
      </c>
      <c r="F18" s="45"/>
      <c r="G18" s="46"/>
      <c r="H18" s="46"/>
      <c r="I18" s="279"/>
      <c r="J18" s="46"/>
      <c r="K18" s="152" t="str">
        <f t="shared" si="16"/>
        <v/>
      </c>
      <c r="L18" s="46"/>
      <c r="M18" s="46" t="str">
        <f t="shared" si="17"/>
        <v/>
      </c>
      <c r="N18" s="301"/>
      <c r="O18" s="272">
        <f t="shared" si="3"/>
        <v>1121.3642609495646</v>
      </c>
      <c r="P18" s="272">
        <f t="shared" si="18"/>
        <v>34759.549826646951</v>
      </c>
      <c r="Q18" s="272">
        <f t="shared" si="4"/>
        <v>34759.549826646951</v>
      </c>
      <c r="R18" s="272">
        <f t="shared" si="22"/>
        <v>0</v>
      </c>
      <c r="S18" s="272" t="str">
        <f t="shared" si="13"/>
        <v/>
      </c>
      <c r="T18" s="272"/>
      <c r="U18" s="272"/>
      <c r="V18" s="272" t="str">
        <f t="shared" si="19"/>
        <v/>
      </c>
      <c r="W18" s="272" t="str">
        <f t="shared" si="20"/>
        <v/>
      </c>
      <c r="X18" s="272">
        <f t="shared" si="23"/>
        <v>0</v>
      </c>
      <c r="Y18" s="272">
        <f t="shared" si="23"/>
        <v>0</v>
      </c>
      <c r="Z18" s="272">
        <f t="shared" si="23"/>
        <v>0</v>
      </c>
      <c r="AA18" s="272">
        <f t="shared" si="9"/>
        <v>0</v>
      </c>
      <c r="AB18" s="272">
        <f t="shared" si="14"/>
        <v>0</v>
      </c>
      <c r="AC18" s="272"/>
      <c r="AD18" s="354">
        <v>2013</v>
      </c>
      <c r="AE18" s="328"/>
      <c r="AF18" s="327"/>
      <c r="AG18" s="315">
        <f t="shared" si="24"/>
        <v>0</v>
      </c>
    </row>
    <row r="19" spans="1:33">
      <c r="A19" s="1"/>
      <c r="B19" s="4">
        <f t="shared" si="15"/>
        <v>45304</v>
      </c>
      <c r="C19" s="29">
        <f t="shared" si="21"/>
        <v>45304</v>
      </c>
      <c r="D19" s="6">
        <f t="shared" ca="1" si="1"/>
        <v>-13</v>
      </c>
      <c r="E19" s="90" t="s">
        <v>6</v>
      </c>
      <c r="F19" s="45"/>
      <c r="G19" s="46"/>
      <c r="H19" s="46"/>
      <c r="I19" s="279"/>
      <c r="J19" s="46"/>
      <c r="K19" s="152" t="str">
        <f t="shared" si="16"/>
        <v/>
      </c>
      <c r="L19" s="46"/>
      <c r="M19" s="46" t="str">
        <f t="shared" si="17"/>
        <v/>
      </c>
      <c r="N19" s="310"/>
      <c r="O19" s="272">
        <f t="shared" si="3"/>
        <v>1121.3642609495646</v>
      </c>
      <c r="P19" s="272">
        <f t="shared" si="18"/>
        <v>34759.549826646951</v>
      </c>
      <c r="Q19" s="272">
        <f t="shared" si="4"/>
        <v>34759.549826646951</v>
      </c>
      <c r="R19" s="272">
        <f t="shared" si="22"/>
        <v>0</v>
      </c>
      <c r="S19" s="272" t="str">
        <f t="shared" si="13"/>
        <v/>
      </c>
      <c r="T19" s="272"/>
      <c r="U19" s="272"/>
      <c r="V19" s="272" t="str">
        <f t="shared" si="19"/>
        <v/>
      </c>
      <c r="W19" s="272" t="str">
        <f t="shared" si="20"/>
        <v/>
      </c>
      <c r="X19" s="272">
        <f t="shared" si="23"/>
        <v>0</v>
      </c>
      <c r="Y19" s="272">
        <f t="shared" si="23"/>
        <v>0</v>
      </c>
      <c r="Z19" s="272">
        <f t="shared" si="23"/>
        <v>0</v>
      </c>
      <c r="AA19" s="272">
        <f t="shared" si="9"/>
        <v>0</v>
      </c>
      <c r="AB19" s="272">
        <f t="shared" si="14"/>
        <v>0</v>
      </c>
      <c r="AC19" s="272"/>
      <c r="AD19" s="354">
        <v>2014</v>
      </c>
      <c r="AE19" s="328"/>
      <c r="AF19" s="327"/>
      <c r="AG19" s="315">
        <f t="shared" si="24"/>
        <v>0</v>
      </c>
    </row>
    <row r="20" spans="1:33" ht="17" thickBot="1">
      <c r="A20" s="1"/>
      <c r="B20" s="43">
        <f t="shared" si="15"/>
        <v>45305</v>
      </c>
      <c r="C20" s="32">
        <f t="shared" si="21"/>
        <v>45305</v>
      </c>
      <c r="D20" s="44">
        <f t="shared" ca="1" si="1"/>
        <v>-14</v>
      </c>
      <c r="E20" s="93" t="s">
        <v>7</v>
      </c>
      <c r="F20" s="45"/>
      <c r="G20" s="46"/>
      <c r="H20" s="46"/>
      <c r="I20" s="279"/>
      <c r="J20" s="46"/>
      <c r="K20" s="152" t="str">
        <f t="shared" si="16"/>
        <v/>
      </c>
      <c r="L20" s="46"/>
      <c r="M20" s="46" t="str">
        <f t="shared" si="17"/>
        <v/>
      </c>
      <c r="N20" s="303"/>
      <c r="O20" s="272">
        <f t="shared" si="3"/>
        <v>1121.3642609495646</v>
      </c>
      <c r="P20" s="272">
        <f t="shared" si="18"/>
        <v>34759.549826646951</v>
      </c>
      <c r="Q20" s="272">
        <f t="shared" si="4"/>
        <v>34759.549826646951</v>
      </c>
      <c r="R20" s="272">
        <f t="shared" si="22"/>
        <v>0</v>
      </c>
      <c r="S20" s="272" t="str">
        <f t="shared" si="13"/>
        <v/>
      </c>
      <c r="T20" s="272"/>
      <c r="U20" s="272"/>
      <c r="V20" s="272" t="str">
        <f t="shared" si="19"/>
        <v/>
      </c>
      <c r="W20" s="272" t="str">
        <f t="shared" si="20"/>
        <v/>
      </c>
      <c r="X20" s="272">
        <f t="shared" si="23"/>
        <v>0</v>
      </c>
      <c r="Y20" s="272">
        <f t="shared" si="23"/>
        <v>0</v>
      </c>
      <c r="Z20" s="272">
        <f t="shared" si="23"/>
        <v>0</v>
      </c>
      <c r="AA20" s="272">
        <f t="shared" si="9"/>
        <v>0</v>
      </c>
      <c r="AB20" s="272">
        <f t="shared" si="14"/>
        <v>0</v>
      </c>
      <c r="AC20" s="272"/>
      <c r="AD20" s="354">
        <v>2015</v>
      </c>
      <c r="AE20" s="328"/>
      <c r="AF20" s="327"/>
      <c r="AG20" s="315">
        <f t="shared" si="24"/>
        <v>0</v>
      </c>
    </row>
    <row r="21" spans="1:33" ht="17" thickTop="1">
      <c r="A21" s="25"/>
      <c r="B21" s="12"/>
      <c r="C21" s="33"/>
      <c r="D21" s="50">
        <f t="shared" ca="1" si="1"/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272" t="str">
        <f t="shared" si="3"/>
        <v/>
      </c>
      <c r="P21" s="272"/>
      <c r="Q21" s="272">
        <f t="shared" si="4"/>
        <v>0</v>
      </c>
      <c r="R21" s="272"/>
      <c r="S21" s="272" t="str">
        <f t="shared" si="13"/>
        <v/>
      </c>
      <c r="T21" s="272"/>
      <c r="U21" s="272"/>
      <c r="V21" s="272"/>
      <c r="W21" s="272"/>
      <c r="X21" s="272"/>
      <c r="Y21" s="272"/>
      <c r="Z21" s="272"/>
      <c r="AA21" s="272">
        <f t="shared" si="9"/>
        <v>0</v>
      </c>
      <c r="AB21" s="272">
        <f t="shared" si="14"/>
        <v>0</v>
      </c>
      <c r="AC21" s="272"/>
      <c r="AD21" s="354">
        <v>2016</v>
      </c>
      <c r="AE21" s="328"/>
      <c r="AF21" s="327"/>
      <c r="AG21" s="315">
        <f t="shared" si="24"/>
        <v>0</v>
      </c>
    </row>
    <row r="22" spans="1:33" ht="17" thickBot="1">
      <c r="A22" s="24"/>
      <c r="B22" s="13"/>
      <c r="C22" s="30"/>
      <c r="D22" s="51">
        <f t="shared" ca="1" si="1"/>
        <v>45291</v>
      </c>
      <c r="E22" s="92" t="s">
        <v>27</v>
      </c>
      <c r="F22" s="52">
        <f>G22*0.0005681818</f>
        <v>4.8771334198976346</v>
      </c>
      <c r="G22" s="53">
        <f>H22*1.0936113</f>
        <v>8583.7550936999996</v>
      </c>
      <c r="H22" s="104">
        <f>INT(SUM($O14:$O20))</f>
        <v>7849</v>
      </c>
      <c r="I22" s="120"/>
      <c r="J22" s="499"/>
      <c r="K22" s="500"/>
      <c r="L22" s="500"/>
      <c r="M22" s="500"/>
      <c r="N22" s="500"/>
      <c r="O22" s="272" t="str">
        <f t="shared" si="3"/>
        <v/>
      </c>
      <c r="P22" s="272"/>
      <c r="Q22" s="272">
        <f t="shared" si="4"/>
        <v>0</v>
      </c>
      <c r="R22" s="272"/>
      <c r="S22" s="272" t="str">
        <f t="shared" si="13"/>
        <v/>
      </c>
      <c r="T22" s="272"/>
      <c r="U22" s="272"/>
      <c r="V22" s="272"/>
      <c r="W22" s="272"/>
      <c r="X22" s="272"/>
      <c r="Y22" s="272"/>
      <c r="Z22" s="272"/>
      <c r="AA22" s="272">
        <f t="shared" si="9"/>
        <v>0</v>
      </c>
      <c r="AB22" s="272">
        <f t="shared" si="14"/>
        <v>0</v>
      </c>
      <c r="AC22" s="272"/>
      <c r="AD22" s="354">
        <v>2017</v>
      </c>
      <c r="AE22" s="328"/>
      <c r="AF22" s="327"/>
      <c r="AG22" s="315">
        <f t="shared" si="24"/>
        <v>0</v>
      </c>
    </row>
    <row r="23" spans="1:33" ht="17" thickTop="1">
      <c r="A23" s="1"/>
      <c r="B23" s="47">
        <f t="shared" ref="B23:B29" si="25">IF(B$2&gt;C23,0,C23)</f>
        <v>45306</v>
      </c>
      <c r="C23" s="31">
        <f>C20+1</f>
        <v>45306</v>
      </c>
      <c r="D23" s="18">
        <f t="shared" ca="1" si="1"/>
        <v>-15</v>
      </c>
      <c r="E23" s="94" t="s">
        <v>1</v>
      </c>
      <c r="F23" s="45"/>
      <c r="G23" s="46"/>
      <c r="H23" s="46"/>
      <c r="I23" s="279"/>
      <c r="J23" s="46"/>
      <c r="K23" s="152" t="str">
        <f t="shared" ref="K23:K29" si="26">IF(R23=0,"",IF(L23="","",J23))</f>
        <v/>
      </c>
      <c r="L23" s="101"/>
      <c r="M23" s="46" t="str">
        <f t="shared" ref="M23:M29" si="27">IF(R23=0,"",IF(J23="","",L23))</f>
        <v/>
      </c>
      <c r="N23" s="301"/>
      <c r="O23" s="272">
        <f t="shared" si="3"/>
        <v>1121.3642609495646</v>
      </c>
      <c r="P23" s="272">
        <f t="shared" ref="P23:P29" si="28">H$56</f>
        <v>34759.549826646951</v>
      </c>
      <c r="Q23" s="272">
        <f t="shared" si="4"/>
        <v>34759.549826646951</v>
      </c>
      <c r="R23" s="272">
        <f>IF(R$2=3,H23+G23/1.0936133+F23/0.0006213712,IF(R$2=2,H23*1.0936133+G23+F23/0.0005681818,IF(R$2=1,H23*0.0005681818*1.0936133+G23*0.0005681818+F23,"")))</f>
        <v>0</v>
      </c>
      <c r="S23" s="272" t="str">
        <f t="shared" si="13"/>
        <v/>
      </c>
      <c r="T23" s="272"/>
      <c r="U23" s="272"/>
      <c r="V23" s="272" t="str">
        <f t="shared" ref="V23:V29" si="29">IF(L23="","",IF(R23=0,"",IF(B23=0,"",IF($R$2=3,R23/L23*60/1000,IF($R$2=2,R23/L23*60/1760,IF($R$2=1,R23/L23*60,""))))))</f>
        <v/>
      </c>
      <c r="W23" s="272" t="str">
        <f t="shared" ref="W23:W29" si="30">IF(R23=0,"",IF(L23="","",V23*L23))</f>
        <v/>
      </c>
      <c r="X23" s="272">
        <f>F23+X20</f>
        <v>0</v>
      </c>
      <c r="Y23" s="272">
        <f>G23+Y20</f>
        <v>0</v>
      </c>
      <c r="Z23" s="272">
        <f>H23+Z20</f>
        <v>0</v>
      </c>
      <c r="AA23" s="272">
        <f t="shared" si="9"/>
        <v>0</v>
      </c>
      <c r="AB23" s="272">
        <f t="shared" si="14"/>
        <v>0</v>
      </c>
      <c r="AC23" s="272"/>
      <c r="AD23" s="354">
        <v>2018</v>
      </c>
      <c r="AE23" s="328"/>
      <c r="AF23" s="327"/>
      <c r="AG23" s="315">
        <f t="shared" si="24"/>
        <v>0</v>
      </c>
    </row>
    <row r="24" spans="1:33">
      <c r="A24" s="1"/>
      <c r="B24" s="4">
        <f t="shared" si="25"/>
        <v>45307</v>
      </c>
      <c r="C24" s="29">
        <f t="shared" ref="C24:C29" si="31">C23+1</f>
        <v>45307</v>
      </c>
      <c r="D24" s="6">
        <f t="shared" ca="1" si="1"/>
        <v>-16</v>
      </c>
      <c r="E24" s="90" t="s">
        <v>2</v>
      </c>
      <c r="F24" s="45"/>
      <c r="G24" s="46"/>
      <c r="H24" s="46"/>
      <c r="I24" s="279"/>
      <c r="J24" s="46"/>
      <c r="K24" s="152" t="str">
        <f t="shared" si="26"/>
        <v/>
      </c>
      <c r="L24" s="46"/>
      <c r="M24" s="46" t="str">
        <f t="shared" si="27"/>
        <v/>
      </c>
      <c r="N24" s="301"/>
      <c r="O24" s="272">
        <f t="shared" si="3"/>
        <v>1121.3642609495646</v>
      </c>
      <c r="P24" s="272">
        <f t="shared" si="28"/>
        <v>34759.549826646951</v>
      </c>
      <c r="Q24" s="272">
        <f t="shared" si="4"/>
        <v>34759.549826646951</v>
      </c>
      <c r="R24" s="272">
        <f t="shared" ref="R24:R29" si="32">IF(R$2=3,H24+G24/1.0936133+F24/0.0006213712,IF(R$2=2,H24*1.0936133+G24+F24/0.0005681818,IF(R$2=1,H24*0.0005681818*1.0936133+G24*0.0005681818+F24,"")))</f>
        <v>0</v>
      </c>
      <c r="S24" s="272" t="str">
        <f t="shared" si="13"/>
        <v/>
      </c>
      <c r="T24" s="272"/>
      <c r="U24" s="272"/>
      <c r="V24" s="272" t="str">
        <f t="shared" si="29"/>
        <v/>
      </c>
      <c r="W24" s="272" t="str">
        <f t="shared" si="30"/>
        <v/>
      </c>
      <c r="X24" s="272">
        <f t="shared" ref="X24:Z29" si="33">F24+X23</f>
        <v>0</v>
      </c>
      <c r="Y24" s="272">
        <f t="shared" si="33"/>
        <v>0</v>
      </c>
      <c r="Z24" s="272">
        <f t="shared" si="33"/>
        <v>0</v>
      </c>
      <c r="AA24" s="272">
        <f t="shared" si="9"/>
        <v>0</v>
      </c>
      <c r="AB24" s="272">
        <f t="shared" si="14"/>
        <v>0</v>
      </c>
      <c r="AC24" s="272"/>
      <c r="AD24" s="354">
        <v>2019</v>
      </c>
      <c r="AE24" s="326"/>
      <c r="AF24" s="327">
        <v>111</v>
      </c>
      <c r="AG24" s="315">
        <f t="shared" si="24"/>
        <v>111</v>
      </c>
    </row>
    <row r="25" spans="1:33">
      <c r="A25" s="1"/>
      <c r="B25" s="4">
        <f t="shared" si="25"/>
        <v>45308</v>
      </c>
      <c r="C25" s="29">
        <f t="shared" si="31"/>
        <v>45308</v>
      </c>
      <c r="D25" s="6">
        <f t="shared" ca="1" si="1"/>
        <v>-17</v>
      </c>
      <c r="E25" s="90" t="s">
        <v>3</v>
      </c>
      <c r="F25" s="45"/>
      <c r="G25" s="46"/>
      <c r="H25" s="46"/>
      <c r="I25" s="279"/>
      <c r="J25" s="46"/>
      <c r="K25" s="152" t="str">
        <f t="shared" si="26"/>
        <v/>
      </c>
      <c r="L25" s="46"/>
      <c r="M25" s="46" t="str">
        <f t="shared" si="27"/>
        <v/>
      </c>
      <c r="N25" s="301"/>
      <c r="O25" s="272">
        <f t="shared" si="3"/>
        <v>1121.3642609495646</v>
      </c>
      <c r="P25" s="272">
        <f t="shared" si="28"/>
        <v>34759.549826646951</v>
      </c>
      <c r="Q25" s="272">
        <f t="shared" si="4"/>
        <v>34759.549826646951</v>
      </c>
      <c r="R25" s="272">
        <f t="shared" si="32"/>
        <v>0</v>
      </c>
      <c r="S25" s="272" t="str">
        <f t="shared" si="13"/>
        <v/>
      </c>
      <c r="T25" s="272"/>
      <c r="U25" s="272"/>
      <c r="V25" s="272" t="str">
        <f t="shared" si="29"/>
        <v/>
      </c>
      <c r="W25" s="272" t="str">
        <f t="shared" si="30"/>
        <v/>
      </c>
      <c r="X25" s="272">
        <f t="shared" si="33"/>
        <v>0</v>
      </c>
      <c r="Y25" s="272">
        <f t="shared" si="33"/>
        <v>0</v>
      </c>
      <c r="Z25" s="272">
        <f t="shared" si="33"/>
        <v>0</v>
      </c>
      <c r="AA25" s="272">
        <f t="shared" si="9"/>
        <v>0</v>
      </c>
      <c r="AB25" s="272">
        <f t="shared" si="14"/>
        <v>0</v>
      </c>
      <c r="AC25" s="272"/>
      <c r="AD25" s="354">
        <v>2020</v>
      </c>
      <c r="AE25" s="328"/>
      <c r="AF25" s="327">
        <v>222</v>
      </c>
      <c r="AG25" s="315">
        <f t="shared" si="24"/>
        <v>222</v>
      </c>
    </row>
    <row r="26" spans="1:33">
      <c r="A26" s="1"/>
      <c r="B26" s="4">
        <f t="shared" si="25"/>
        <v>45309</v>
      </c>
      <c r="C26" s="29">
        <f t="shared" si="31"/>
        <v>45309</v>
      </c>
      <c r="D26" s="6">
        <f t="shared" ca="1" si="1"/>
        <v>-18</v>
      </c>
      <c r="E26" s="90" t="s">
        <v>4</v>
      </c>
      <c r="F26" s="45"/>
      <c r="G26" s="46"/>
      <c r="H26" s="46"/>
      <c r="I26" s="279"/>
      <c r="J26" s="46"/>
      <c r="K26" s="152" t="str">
        <f t="shared" si="26"/>
        <v/>
      </c>
      <c r="L26" s="46"/>
      <c r="M26" s="46" t="str">
        <f t="shared" si="27"/>
        <v/>
      </c>
      <c r="N26" s="301"/>
      <c r="O26" s="272">
        <f t="shared" si="3"/>
        <v>1121.3642609495646</v>
      </c>
      <c r="P26" s="272">
        <f t="shared" si="28"/>
        <v>34759.549826646951</v>
      </c>
      <c r="Q26" s="272">
        <f t="shared" si="4"/>
        <v>34759.549826646951</v>
      </c>
      <c r="R26" s="272">
        <f t="shared" si="32"/>
        <v>0</v>
      </c>
      <c r="S26" s="272" t="str">
        <f t="shared" si="13"/>
        <v/>
      </c>
      <c r="T26" s="272"/>
      <c r="U26" s="272"/>
      <c r="V26" s="272" t="str">
        <f t="shared" si="29"/>
        <v/>
      </c>
      <c r="W26" s="272" t="str">
        <f t="shared" si="30"/>
        <v/>
      </c>
      <c r="X26" s="272">
        <f t="shared" si="33"/>
        <v>0</v>
      </c>
      <c r="Y26" s="272">
        <f t="shared" si="33"/>
        <v>0</v>
      </c>
      <c r="Z26" s="272">
        <f t="shared" si="33"/>
        <v>0</v>
      </c>
      <c r="AA26" s="272">
        <f t="shared" si="9"/>
        <v>0</v>
      </c>
      <c r="AB26" s="272">
        <f t="shared" si="14"/>
        <v>0</v>
      </c>
      <c r="AC26" s="272"/>
      <c r="AD26" s="354">
        <v>2021</v>
      </c>
      <c r="AE26" s="328">
        <v>123456</v>
      </c>
      <c r="AF26" s="327"/>
      <c r="AG26" s="315">
        <f>IF(AF26&lt;&gt;"",AF26,AE26*(0.000568181818*1.0936133))</f>
        <v>76.712002000906708</v>
      </c>
    </row>
    <row r="27" spans="1:33">
      <c r="A27" s="1"/>
      <c r="B27" s="4">
        <f t="shared" si="25"/>
        <v>45310</v>
      </c>
      <c r="C27" s="29">
        <f t="shared" si="31"/>
        <v>45310</v>
      </c>
      <c r="D27" s="6">
        <f t="shared" ca="1" si="1"/>
        <v>-19</v>
      </c>
      <c r="E27" s="90" t="s">
        <v>5</v>
      </c>
      <c r="F27" s="45"/>
      <c r="G27" s="46"/>
      <c r="H27" s="46"/>
      <c r="I27" s="279"/>
      <c r="J27" s="46"/>
      <c r="K27" s="152" t="str">
        <f t="shared" si="26"/>
        <v/>
      </c>
      <c r="L27" s="46"/>
      <c r="M27" s="46" t="str">
        <f t="shared" si="27"/>
        <v/>
      </c>
      <c r="N27" s="301"/>
      <c r="O27" s="272">
        <f t="shared" si="3"/>
        <v>1121.3642609495646</v>
      </c>
      <c r="P27" s="272">
        <f t="shared" si="28"/>
        <v>34759.549826646951</v>
      </c>
      <c r="Q27" s="272">
        <f t="shared" si="4"/>
        <v>34759.549826646951</v>
      </c>
      <c r="R27" s="272">
        <f t="shared" si="32"/>
        <v>0</v>
      </c>
      <c r="S27" s="272" t="str">
        <f t="shared" si="13"/>
        <v/>
      </c>
      <c r="T27" s="272"/>
      <c r="U27" s="272"/>
      <c r="V27" s="272" t="str">
        <f t="shared" si="29"/>
        <v/>
      </c>
      <c r="W27" s="272" t="str">
        <f t="shared" si="30"/>
        <v/>
      </c>
      <c r="X27" s="272">
        <f t="shared" si="33"/>
        <v>0</v>
      </c>
      <c r="Y27" s="272">
        <f t="shared" si="33"/>
        <v>0</v>
      </c>
      <c r="Z27" s="272">
        <f t="shared" si="33"/>
        <v>0</v>
      </c>
      <c r="AA27" s="272">
        <f t="shared" si="9"/>
        <v>0</v>
      </c>
      <c r="AB27" s="272">
        <f t="shared" si="14"/>
        <v>0</v>
      </c>
      <c r="AC27" s="272"/>
      <c r="AD27" s="354">
        <v>2022</v>
      </c>
      <c r="AE27" s="328"/>
      <c r="AF27" s="327"/>
      <c r="AG27" s="319">
        <f>IF(AF27&lt;&gt;"",AF27,AE27*(0.000568181818*1.0936133))</f>
        <v>0</v>
      </c>
    </row>
    <row r="28" spans="1:33" ht="17" thickBot="1">
      <c r="A28" s="1"/>
      <c r="B28" s="4">
        <f t="shared" si="25"/>
        <v>45311</v>
      </c>
      <c r="C28" s="29">
        <f t="shared" si="31"/>
        <v>45311</v>
      </c>
      <c r="D28" s="6">
        <f t="shared" ca="1" si="1"/>
        <v>-20</v>
      </c>
      <c r="E28" s="90" t="s">
        <v>6</v>
      </c>
      <c r="F28" s="45"/>
      <c r="G28" s="46"/>
      <c r="H28" s="46"/>
      <c r="I28" s="279"/>
      <c r="J28" s="46"/>
      <c r="K28" s="152" t="str">
        <f t="shared" si="26"/>
        <v/>
      </c>
      <c r="L28" s="46"/>
      <c r="M28" s="46" t="str">
        <f t="shared" si="27"/>
        <v/>
      </c>
      <c r="N28" s="301"/>
      <c r="O28" s="272">
        <f t="shared" si="3"/>
        <v>1121.3642609495646</v>
      </c>
      <c r="P28" s="272">
        <f t="shared" si="28"/>
        <v>34759.549826646951</v>
      </c>
      <c r="Q28" s="272">
        <f t="shared" si="4"/>
        <v>34759.549826646951</v>
      </c>
      <c r="R28" s="272">
        <f t="shared" si="32"/>
        <v>0</v>
      </c>
      <c r="S28" s="272" t="str">
        <f t="shared" si="13"/>
        <v/>
      </c>
      <c r="T28" s="272"/>
      <c r="U28" s="272"/>
      <c r="V28" s="272" t="str">
        <f t="shared" si="29"/>
        <v/>
      </c>
      <c r="W28" s="272" t="str">
        <f t="shared" si="30"/>
        <v/>
      </c>
      <c r="X28" s="272">
        <f t="shared" si="33"/>
        <v>0</v>
      </c>
      <c r="Y28" s="272">
        <f t="shared" si="33"/>
        <v>0</v>
      </c>
      <c r="Z28" s="272">
        <f t="shared" si="33"/>
        <v>0</v>
      </c>
      <c r="AA28" s="272">
        <f t="shared" si="9"/>
        <v>0</v>
      </c>
      <c r="AB28" s="272">
        <f t="shared" si="14"/>
        <v>0</v>
      </c>
      <c r="AC28" s="272"/>
      <c r="AD28" s="514">
        <v>2023</v>
      </c>
      <c r="AE28" s="326"/>
      <c r="AF28" s="329">
        <v>333</v>
      </c>
      <c r="AG28" s="317">
        <f>IF(AF28&lt;&gt;"",AF28,AE28*(0.000568181818*1.0936133))</f>
        <v>333</v>
      </c>
    </row>
    <row r="29" spans="1:33" ht="17" thickBot="1">
      <c r="A29" s="1"/>
      <c r="B29" s="43">
        <f t="shared" si="25"/>
        <v>45312</v>
      </c>
      <c r="C29" s="32">
        <f t="shared" si="31"/>
        <v>45312</v>
      </c>
      <c r="D29" s="44">
        <f t="shared" ca="1" si="1"/>
        <v>-21</v>
      </c>
      <c r="E29" s="93" t="s">
        <v>7</v>
      </c>
      <c r="F29" s="45"/>
      <c r="G29" s="46"/>
      <c r="H29" s="46"/>
      <c r="I29" s="279"/>
      <c r="J29" s="46"/>
      <c r="K29" s="152" t="str">
        <f t="shared" si="26"/>
        <v/>
      </c>
      <c r="L29" s="46"/>
      <c r="M29" s="46" t="str">
        <f t="shared" si="27"/>
        <v/>
      </c>
      <c r="N29" s="301"/>
      <c r="O29" s="272">
        <f t="shared" si="3"/>
        <v>1121.3642609495646</v>
      </c>
      <c r="P29" s="272">
        <f t="shared" si="28"/>
        <v>34759.549826646951</v>
      </c>
      <c r="Q29" s="272">
        <f t="shared" si="4"/>
        <v>34759.549826646951</v>
      </c>
      <c r="R29" s="272">
        <f t="shared" si="32"/>
        <v>0</v>
      </c>
      <c r="S29" s="272" t="str">
        <f t="shared" si="13"/>
        <v/>
      </c>
      <c r="T29" s="272"/>
      <c r="U29" s="272"/>
      <c r="V29" s="272" t="str">
        <f t="shared" si="29"/>
        <v/>
      </c>
      <c r="W29" s="272" t="str">
        <f t="shared" si="30"/>
        <v/>
      </c>
      <c r="X29" s="272">
        <f t="shared" si="33"/>
        <v>0</v>
      </c>
      <c r="Y29" s="272">
        <f t="shared" si="33"/>
        <v>0</v>
      </c>
      <c r="Z29" s="272">
        <f t="shared" si="33"/>
        <v>0</v>
      </c>
      <c r="AA29" s="272">
        <f t="shared" si="9"/>
        <v>0</v>
      </c>
      <c r="AB29" s="272">
        <f t="shared" si="14"/>
        <v>0</v>
      </c>
      <c r="AC29" s="272"/>
      <c r="AD29" s="515">
        <v>2024</v>
      </c>
      <c r="AE29" s="330">
        <f>AF29/(0.000568181818*1.0936133)</f>
        <v>410382.71950754069</v>
      </c>
      <c r="AF29" s="330">
        <f>'MY STATS'!B$8</f>
        <v>255</v>
      </c>
      <c r="AG29" s="314">
        <f>IF(AF29&lt;&gt;"",AF29,AE29*(0.000568181818*1.0936133))</f>
        <v>255</v>
      </c>
    </row>
    <row r="30" spans="1:33" ht="17" customHeight="1" thickTop="1" thickBot="1">
      <c r="A30" s="25"/>
      <c r="B30" s="12"/>
      <c r="C30" s="33"/>
      <c r="D30" s="50">
        <f t="shared" ca="1" si="1"/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272" t="str">
        <f t="shared" si="3"/>
        <v/>
      </c>
      <c r="P30" s="272"/>
      <c r="Q30" s="272">
        <f t="shared" si="4"/>
        <v>0</v>
      </c>
      <c r="R30" s="272"/>
      <c r="S30" s="272" t="str">
        <f t="shared" si="13"/>
        <v/>
      </c>
      <c r="T30" s="272"/>
      <c r="U30" s="272"/>
      <c r="V30" s="272"/>
      <c r="W30" s="272"/>
      <c r="X30" s="272"/>
      <c r="Y30" s="272"/>
      <c r="Z30" s="272"/>
      <c r="AA30" s="272">
        <f t="shared" si="9"/>
        <v>0</v>
      </c>
      <c r="AB30" s="272">
        <f t="shared" si="14"/>
        <v>0</v>
      </c>
      <c r="AC30" s="272"/>
      <c r="AD30" s="355" t="s">
        <v>482</v>
      </c>
      <c r="AE30" s="331">
        <f ca="1">AF30/(0.000568181818*1.0936133)</f>
        <v>1609.3439980687872</v>
      </c>
      <c r="AF30" s="331">
        <f ca="1">IFERROR('MY STATS'!I$45/'MY STATS'!F$22*'MY STATS'!F$44,1)</f>
        <v>1</v>
      </c>
      <c r="AG30" s="318">
        <f ca="1">IF(AF30&lt;&gt;"",AF30,AE30*(0.000568181818*1.0936133))+0.01</f>
        <v>1.01</v>
      </c>
    </row>
    <row r="31" spans="1:33" ht="17" thickBot="1">
      <c r="A31" s="24"/>
      <c r="B31" s="13"/>
      <c r="C31" s="30"/>
      <c r="D31" s="51">
        <f t="shared" ca="1" si="1"/>
        <v>45291</v>
      </c>
      <c r="E31" s="92" t="s">
        <v>27</v>
      </c>
      <c r="F31" s="52">
        <f>G31*0.0005681818</f>
        <v>4.8771334198976346</v>
      </c>
      <c r="G31" s="53">
        <f>H31*1.0936113</f>
        <v>8583.7550936999996</v>
      </c>
      <c r="H31" s="104">
        <f>INT(SUM($O23:$O29))</f>
        <v>7849</v>
      </c>
      <c r="I31" s="120"/>
      <c r="J31" s="503"/>
      <c r="K31" s="504"/>
      <c r="L31" s="504"/>
      <c r="M31" s="271"/>
      <c r="N31" s="506"/>
      <c r="O31" s="272" t="str">
        <f t="shared" si="3"/>
        <v/>
      </c>
      <c r="P31" s="272"/>
      <c r="Q31" s="272">
        <f t="shared" si="4"/>
        <v>0</v>
      </c>
      <c r="R31" s="272"/>
      <c r="S31" s="272" t="str">
        <f t="shared" si="13"/>
        <v/>
      </c>
      <c r="T31" s="272"/>
      <c r="U31" s="272"/>
      <c r="V31" s="272"/>
      <c r="W31" s="272"/>
      <c r="X31" s="272"/>
      <c r="Y31" s="272"/>
      <c r="Z31" s="272"/>
      <c r="AA31" s="272">
        <f t="shared" si="9"/>
        <v>0</v>
      </c>
      <c r="AB31" s="272">
        <f t="shared" si="14"/>
        <v>0</v>
      </c>
      <c r="AC31" s="272"/>
      <c r="AD31" s="511">
        <v>2025</v>
      </c>
      <c r="AE31" s="512"/>
      <c r="AF31" s="512"/>
      <c r="AG31" s="513">
        <f t="shared" ref="AG31" si="34">IF(AF31&lt;&gt;"",AF31,AE31*(0.000568181818*1.0936133))</f>
        <v>0</v>
      </c>
    </row>
    <row r="32" spans="1:33" ht="18" thickTop="1" thickBot="1">
      <c r="A32" s="1"/>
      <c r="B32" s="47">
        <f t="shared" ref="B32:B38" si="35">IF(B$2&gt;C32,0,C32)</f>
        <v>45313</v>
      </c>
      <c r="C32" s="31">
        <f>C29+1</f>
        <v>45313</v>
      </c>
      <c r="D32" s="18">
        <f t="shared" ca="1" si="1"/>
        <v>-22</v>
      </c>
      <c r="E32" s="94" t="s">
        <v>1</v>
      </c>
      <c r="F32" s="45"/>
      <c r="G32" s="46"/>
      <c r="H32" s="46"/>
      <c r="I32" s="279"/>
      <c r="J32" s="46"/>
      <c r="K32" s="152" t="str">
        <f t="shared" ref="K32:K38" si="36">IF(R32=0,"",IF(L32="","",J32))</f>
        <v/>
      </c>
      <c r="L32" s="121"/>
      <c r="M32" s="46" t="str">
        <f>IF(R32=0,"",IF(J32="","",L32))</f>
        <v/>
      </c>
      <c r="N32" s="301"/>
      <c r="O32" s="272">
        <f t="shared" si="3"/>
        <v>1121.3642609495646</v>
      </c>
      <c r="P32" s="272">
        <f t="shared" ref="P32:P38" si="37">H$56</f>
        <v>34759.549826646951</v>
      </c>
      <c r="Q32" s="272">
        <f t="shared" si="4"/>
        <v>34759.549826646951</v>
      </c>
      <c r="R32" s="272">
        <f>IF(R$2=3,H32+G32/1.0936133+F32/0.0006213712,IF(R$2=2,H32*1.0936133+G32+F32/0.0005681818,IF(R$2=1,H32*0.0005681818*1.0936133+G32*0.0005681818+F32,"")))</f>
        <v>0</v>
      </c>
      <c r="S32" s="272" t="str">
        <f t="shared" si="13"/>
        <v/>
      </c>
      <c r="T32" s="272"/>
      <c r="U32" s="272"/>
      <c r="V32" s="272" t="str">
        <f t="shared" ref="V32:V38" si="38">IF(L32="","",IF(R32=0,"",IF(B32=0,"",IF($R$2=3,R32/L32*60/1000,IF($R$2=2,R32/L32*60/1760,IF($R$2=1,R32/L32*60,""))))))</f>
        <v/>
      </c>
      <c r="W32" s="272" t="str">
        <f t="shared" ref="W32:W38" si="39">IF(R32=0,"",IF(L32="","",V32*L32))</f>
        <v/>
      </c>
      <c r="X32" s="272">
        <f>F32+X29</f>
        <v>0</v>
      </c>
      <c r="Y32" s="272">
        <f>G32+Y29</f>
        <v>0</v>
      </c>
      <c r="Z32" s="272">
        <f>H32+Z29</f>
        <v>0</v>
      </c>
      <c r="AA32" s="272">
        <f t="shared" si="9"/>
        <v>0</v>
      </c>
      <c r="AB32" s="272">
        <f t="shared" si="14"/>
        <v>0</v>
      </c>
      <c r="AC32" s="272"/>
      <c r="AE32" s="273"/>
      <c r="AF32" s="273"/>
    </row>
    <row r="33" spans="1:33" ht="17" thickBot="1">
      <c r="A33" s="1"/>
      <c r="B33" s="4">
        <f t="shared" si="35"/>
        <v>45314</v>
      </c>
      <c r="C33" s="29">
        <f t="shared" ref="C33:C38" si="40">C32+1</f>
        <v>45314</v>
      </c>
      <c r="D33" s="6">
        <f t="shared" ca="1" si="1"/>
        <v>-23</v>
      </c>
      <c r="E33" s="90" t="s">
        <v>2</v>
      </c>
      <c r="F33" s="45"/>
      <c r="G33" s="46"/>
      <c r="H33" s="46"/>
      <c r="I33" s="279"/>
      <c r="J33" s="46"/>
      <c r="K33" s="152" t="str">
        <f t="shared" si="36"/>
        <v/>
      </c>
      <c r="L33" s="46"/>
      <c r="M33" s="46" t="str">
        <f t="shared" ref="M33:M38" si="41">IF(R33=0,"",IF(J33="","",L33))</f>
        <v/>
      </c>
      <c r="N33" s="301"/>
      <c r="O33" s="272">
        <f t="shared" si="3"/>
        <v>1121.3642609495646</v>
      </c>
      <c r="P33" s="272">
        <f t="shared" si="37"/>
        <v>34759.549826646951</v>
      </c>
      <c r="Q33" s="272">
        <f t="shared" si="4"/>
        <v>34759.549826646951</v>
      </c>
      <c r="R33" s="272">
        <f t="shared" ref="R33:R38" si="42">IF(R$2=3,H33+G33/1.0936133+F33/0.0006213712,IF(R$2=2,H33*1.0936133+G33+F33/0.0005681818,IF(R$2=1,H33*0.0005681818*1.0936133+G33*0.0005681818+F33,"")))</f>
        <v>0</v>
      </c>
      <c r="S33" s="272" t="str">
        <f t="shared" si="13"/>
        <v/>
      </c>
      <c r="T33" s="272"/>
      <c r="U33" s="272"/>
      <c r="V33" s="272" t="str">
        <f t="shared" si="38"/>
        <v/>
      </c>
      <c r="W33" s="272" t="str">
        <f t="shared" si="39"/>
        <v/>
      </c>
      <c r="X33" s="272">
        <f t="shared" ref="X33:Z38" si="43">F33+X32</f>
        <v>0</v>
      </c>
      <c r="Y33" s="272">
        <f t="shared" si="43"/>
        <v>0</v>
      </c>
      <c r="Z33" s="272">
        <f t="shared" si="43"/>
        <v>0</v>
      </c>
      <c r="AA33" s="272">
        <f t="shared" si="9"/>
        <v>0</v>
      </c>
      <c r="AB33" s="272">
        <f t="shared" si="14"/>
        <v>0</v>
      </c>
      <c r="AC33" s="272"/>
      <c r="AD33" s="359" t="str">
        <f ca="1">CONCATENATE("My ",ROUND(AE33,2)," year totals are:-")</f>
        <v>My 4 year totals are:-</v>
      </c>
      <c r="AE33" s="365">
        <f ca="1">COUNTIF(AG5:AG28,"&gt;0")+(TODAY()-'MY STATS'!D50)/'MY STATS'!F44</f>
        <v>3.9972677595628414</v>
      </c>
      <c r="AF33" s="362"/>
      <c r="AG33" s="360"/>
    </row>
    <row r="34" spans="1:33" ht="17" thickBot="1">
      <c r="A34" s="1"/>
      <c r="B34" s="4">
        <f t="shared" si="35"/>
        <v>45315</v>
      </c>
      <c r="C34" s="29">
        <f t="shared" si="40"/>
        <v>45315</v>
      </c>
      <c r="D34" s="6">
        <f t="shared" ca="1" si="1"/>
        <v>-24</v>
      </c>
      <c r="E34" s="90" t="s">
        <v>3</v>
      </c>
      <c r="F34" s="45"/>
      <c r="G34" s="46"/>
      <c r="H34" s="46"/>
      <c r="I34" s="279"/>
      <c r="J34" s="46"/>
      <c r="K34" s="152" t="str">
        <f t="shared" si="36"/>
        <v/>
      </c>
      <c r="L34" s="46"/>
      <c r="M34" s="46" t="str">
        <f t="shared" si="41"/>
        <v/>
      </c>
      <c r="N34" s="301"/>
      <c r="O34" s="272">
        <f t="shared" si="3"/>
        <v>1121.3642609495646</v>
      </c>
      <c r="P34" s="272">
        <f t="shared" si="37"/>
        <v>34759.549826646951</v>
      </c>
      <c r="Q34" s="272">
        <f t="shared" si="4"/>
        <v>34759.549826646951</v>
      </c>
      <c r="R34" s="272">
        <f t="shared" si="42"/>
        <v>0</v>
      </c>
      <c r="S34" s="272" t="str">
        <f t="shared" si="13"/>
        <v/>
      </c>
      <c r="T34" s="272"/>
      <c r="U34" s="272"/>
      <c r="V34" s="272" t="str">
        <f t="shared" si="38"/>
        <v/>
      </c>
      <c r="W34" s="272" t="str">
        <f t="shared" si="39"/>
        <v/>
      </c>
      <c r="X34" s="272">
        <f t="shared" si="43"/>
        <v>0</v>
      </c>
      <c r="Y34" s="272">
        <f t="shared" si="43"/>
        <v>0</v>
      </c>
      <c r="Z34" s="272">
        <f t="shared" si="43"/>
        <v>0</v>
      </c>
      <c r="AA34" s="272">
        <f t="shared" si="9"/>
        <v>0</v>
      </c>
      <c r="AB34" s="272">
        <f t="shared" si="14"/>
        <v>0</v>
      </c>
      <c r="AC34" s="272"/>
      <c r="AD34" s="364"/>
      <c r="AE34" s="363">
        <f>SUM(AG5:AG28)+'MY STATS'!$I$45</f>
        <v>742.71200200090675</v>
      </c>
      <c r="AF34" s="363">
        <f>AE34*1760</f>
        <v>1307173.123521596</v>
      </c>
      <c r="AG34" s="361">
        <f>AE34/0.000568181818/1.0936133</f>
        <v>1195279.1027138124</v>
      </c>
    </row>
    <row r="35" spans="1:33">
      <c r="A35" s="1"/>
      <c r="B35" s="4">
        <f t="shared" si="35"/>
        <v>45316</v>
      </c>
      <c r="C35" s="29">
        <f t="shared" si="40"/>
        <v>45316</v>
      </c>
      <c r="D35" s="6">
        <f t="shared" ca="1" si="1"/>
        <v>-25</v>
      </c>
      <c r="E35" s="90" t="s">
        <v>4</v>
      </c>
      <c r="F35" s="45"/>
      <c r="G35" s="46"/>
      <c r="H35" s="46"/>
      <c r="I35" s="279"/>
      <c r="J35" s="46"/>
      <c r="K35" s="152" t="str">
        <f t="shared" si="36"/>
        <v/>
      </c>
      <c r="L35" s="46"/>
      <c r="M35" s="46" t="str">
        <f t="shared" si="41"/>
        <v/>
      </c>
      <c r="N35" s="310"/>
      <c r="O35" s="272">
        <f t="shared" si="3"/>
        <v>1121.3642609495646</v>
      </c>
      <c r="P35" s="272">
        <f t="shared" si="37"/>
        <v>34759.549826646951</v>
      </c>
      <c r="Q35" s="272">
        <f t="shared" si="4"/>
        <v>34759.549826646951</v>
      </c>
      <c r="R35" s="272">
        <f t="shared" si="42"/>
        <v>0</v>
      </c>
      <c r="S35" s="272" t="str">
        <f t="shared" si="13"/>
        <v/>
      </c>
      <c r="T35" s="272"/>
      <c r="U35" s="272"/>
      <c r="V35" s="272" t="str">
        <f t="shared" si="38"/>
        <v/>
      </c>
      <c r="W35" s="272" t="str">
        <f t="shared" si="39"/>
        <v/>
      </c>
      <c r="X35" s="272">
        <f t="shared" si="43"/>
        <v>0</v>
      </c>
      <c r="Y35" s="272">
        <f t="shared" si="43"/>
        <v>0</v>
      </c>
      <c r="Z35" s="272">
        <f t="shared" si="43"/>
        <v>0</v>
      </c>
      <c r="AA35" s="272">
        <f t="shared" si="9"/>
        <v>0</v>
      </c>
      <c r="AB35" s="272">
        <f t="shared" si="14"/>
        <v>0</v>
      </c>
      <c r="AC35" s="272"/>
      <c r="AD35" s="351" t="s">
        <v>481</v>
      </c>
      <c r="AE35" s="348"/>
      <c r="AF35" s="346"/>
      <c r="AG35" s="344"/>
    </row>
    <row r="36" spans="1:33" ht="17" thickBot="1">
      <c r="A36" s="1"/>
      <c r="B36" s="4">
        <f t="shared" si="35"/>
        <v>45317</v>
      </c>
      <c r="C36" s="29">
        <f t="shared" si="40"/>
        <v>45317</v>
      </c>
      <c r="D36" s="6">
        <f t="shared" ca="1" si="1"/>
        <v>-26</v>
      </c>
      <c r="E36" s="90" t="s">
        <v>5</v>
      </c>
      <c r="F36" s="45"/>
      <c r="G36" s="46"/>
      <c r="H36" s="46"/>
      <c r="I36" s="279"/>
      <c r="J36" s="46"/>
      <c r="K36" s="152" t="str">
        <f t="shared" si="36"/>
        <v/>
      </c>
      <c r="L36" s="46"/>
      <c r="M36" s="46" t="str">
        <f t="shared" si="41"/>
        <v/>
      </c>
      <c r="N36" s="301"/>
      <c r="O36" s="272">
        <f t="shared" si="3"/>
        <v>1121.3642609495646</v>
      </c>
      <c r="P36" s="272">
        <f t="shared" si="37"/>
        <v>34759.549826646951</v>
      </c>
      <c r="Q36" s="272">
        <f t="shared" si="4"/>
        <v>34759.549826646951</v>
      </c>
      <c r="R36" s="272">
        <f t="shared" si="42"/>
        <v>0</v>
      </c>
      <c r="S36" s="272" t="str">
        <f t="shared" si="13"/>
        <v/>
      </c>
      <c r="T36" s="272"/>
      <c r="U36" s="272"/>
      <c r="V36" s="272" t="str">
        <f t="shared" si="38"/>
        <v/>
      </c>
      <c r="W36" s="272" t="str">
        <f t="shared" si="39"/>
        <v/>
      </c>
      <c r="X36" s="272">
        <f t="shared" si="43"/>
        <v>0</v>
      </c>
      <c r="Y36" s="272">
        <f t="shared" si="43"/>
        <v>0</v>
      </c>
      <c r="Z36" s="272">
        <f t="shared" si="43"/>
        <v>0</v>
      </c>
      <c r="AA36" s="272">
        <f t="shared" si="9"/>
        <v>0</v>
      </c>
      <c r="AB36" s="272">
        <f t="shared" si="14"/>
        <v>0</v>
      </c>
      <c r="AC36" s="272"/>
      <c r="AD36" s="352"/>
      <c r="AE36" s="357">
        <f ca="1">IF((AE34)/AE33&gt;1000,"",(AE34)/AE33)</f>
        <v>185.8049164267477</v>
      </c>
      <c r="AF36" s="357">
        <f ca="1">IF(AE36="","",AE36*1760)</f>
        <v>327016.65291107597</v>
      </c>
      <c r="AG36" s="358">
        <f ca="1">IF(AE36="","",AE36/0.000568181818/1.0936133)</f>
        <v>299024.02706305898</v>
      </c>
    </row>
    <row r="37" spans="1:33" ht="17" thickBot="1">
      <c r="A37" s="1"/>
      <c r="B37" s="4">
        <f t="shared" si="35"/>
        <v>45318</v>
      </c>
      <c r="C37" s="29">
        <f t="shared" si="40"/>
        <v>45318</v>
      </c>
      <c r="D37" s="6">
        <f t="shared" ca="1" si="1"/>
        <v>-27</v>
      </c>
      <c r="E37" s="90" t="s">
        <v>6</v>
      </c>
      <c r="F37" s="45"/>
      <c r="G37" s="46"/>
      <c r="H37" s="46"/>
      <c r="I37" s="279"/>
      <c r="J37" s="46"/>
      <c r="K37" s="152" t="str">
        <f t="shared" si="36"/>
        <v/>
      </c>
      <c r="L37" s="46"/>
      <c r="M37" s="46" t="str">
        <f t="shared" si="41"/>
        <v/>
      </c>
      <c r="N37" s="310"/>
      <c r="O37" s="272">
        <f t="shared" si="3"/>
        <v>1121.3642609495646</v>
      </c>
      <c r="P37" s="272">
        <f t="shared" si="37"/>
        <v>34759.549826646951</v>
      </c>
      <c r="Q37" s="272">
        <f t="shared" si="4"/>
        <v>34759.549826646951</v>
      </c>
      <c r="R37" s="272">
        <f t="shared" si="42"/>
        <v>0</v>
      </c>
      <c r="S37" s="272" t="str">
        <f t="shared" si="13"/>
        <v/>
      </c>
      <c r="T37" s="272"/>
      <c r="U37" s="272"/>
      <c r="V37" s="272" t="str">
        <f t="shared" si="38"/>
        <v/>
      </c>
      <c r="W37" s="272" t="str">
        <f t="shared" si="39"/>
        <v/>
      </c>
      <c r="X37" s="272">
        <f t="shared" si="43"/>
        <v>0</v>
      </c>
      <c r="Y37" s="272">
        <f t="shared" si="43"/>
        <v>0</v>
      </c>
      <c r="Z37" s="272">
        <f t="shared" si="43"/>
        <v>0</v>
      </c>
      <c r="AA37" s="272">
        <f t="shared" si="9"/>
        <v>0</v>
      </c>
      <c r="AB37" s="272">
        <f t="shared" si="14"/>
        <v>0</v>
      </c>
      <c r="AC37" s="272"/>
      <c r="AE37" s="347" t="s">
        <v>469</v>
      </c>
      <c r="AF37" s="347" t="s">
        <v>468</v>
      </c>
      <c r="AG37" s="345" t="s">
        <v>467</v>
      </c>
    </row>
    <row r="38" spans="1:33" ht="17" thickBot="1">
      <c r="A38" s="1"/>
      <c r="B38" s="43">
        <f t="shared" si="35"/>
        <v>45319</v>
      </c>
      <c r="C38" s="32">
        <f t="shared" si="40"/>
        <v>45319</v>
      </c>
      <c r="D38" s="44">
        <f t="shared" ca="1" si="1"/>
        <v>-28</v>
      </c>
      <c r="E38" s="93" t="s">
        <v>7</v>
      </c>
      <c r="F38" s="45"/>
      <c r="G38" s="46"/>
      <c r="H38" s="46"/>
      <c r="I38" s="279"/>
      <c r="J38" s="46"/>
      <c r="K38" s="152" t="str">
        <f t="shared" si="36"/>
        <v/>
      </c>
      <c r="L38" s="46"/>
      <c r="M38" s="46" t="str">
        <f t="shared" si="41"/>
        <v/>
      </c>
      <c r="N38" s="303"/>
      <c r="O38" s="272">
        <f t="shared" si="3"/>
        <v>1121.3642609495646</v>
      </c>
      <c r="P38" s="272">
        <f t="shared" si="37"/>
        <v>34759.549826646951</v>
      </c>
      <c r="Q38" s="272">
        <f t="shared" si="4"/>
        <v>34759.549826646951</v>
      </c>
      <c r="R38" s="272">
        <f t="shared" si="42"/>
        <v>0</v>
      </c>
      <c r="S38" s="272" t="str">
        <f t="shared" si="13"/>
        <v/>
      </c>
      <c r="T38" s="272"/>
      <c r="U38" s="272"/>
      <c r="V38" s="272" t="str">
        <f t="shared" si="38"/>
        <v/>
      </c>
      <c r="W38" s="272" t="str">
        <f t="shared" si="39"/>
        <v/>
      </c>
      <c r="X38" s="272">
        <f t="shared" si="43"/>
        <v>0</v>
      </c>
      <c r="Y38" s="272">
        <f t="shared" si="43"/>
        <v>0</v>
      </c>
      <c r="Z38" s="272">
        <f t="shared" si="43"/>
        <v>0</v>
      </c>
      <c r="AA38" s="272">
        <f t="shared" si="9"/>
        <v>0</v>
      </c>
      <c r="AB38" s="272">
        <f t="shared" si="14"/>
        <v>0</v>
      </c>
      <c r="AC38" s="272"/>
      <c r="AE38" s="76"/>
      <c r="AF38" s="76"/>
      <c r="AG38" s="311"/>
    </row>
    <row r="39" spans="1:33" ht="17" thickTop="1">
      <c r="A39" s="25"/>
      <c r="B39" s="12"/>
      <c r="C39" s="33"/>
      <c r="D39" s="50">
        <f t="shared" ca="1" si="1"/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272" t="str">
        <f t="shared" si="3"/>
        <v/>
      </c>
      <c r="P39" s="272"/>
      <c r="Q39" s="272">
        <f t="shared" si="4"/>
        <v>0</v>
      </c>
      <c r="R39" s="272"/>
      <c r="S39" s="272" t="str">
        <f t="shared" si="13"/>
        <v/>
      </c>
      <c r="T39" s="272"/>
      <c r="U39" s="272"/>
      <c r="V39" s="272"/>
      <c r="W39" s="272"/>
      <c r="X39" s="272"/>
      <c r="Y39" s="272"/>
      <c r="Z39" s="272"/>
      <c r="AA39" s="272">
        <f t="shared" si="9"/>
        <v>0</v>
      </c>
      <c r="AB39" s="272">
        <f t="shared" si="14"/>
        <v>0</v>
      </c>
      <c r="AC39" s="272"/>
      <c r="AE39" s="76"/>
      <c r="AF39" s="76"/>
      <c r="AG39" s="311"/>
    </row>
    <row r="40" spans="1:33" ht="17" thickBot="1">
      <c r="A40" s="24"/>
      <c r="B40" s="13"/>
      <c r="C40" s="30"/>
      <c r="D40" s="51">
        <f t="shared" ca="1" si="1"/>
        <v>45291</v>
      </c>
      <c r="E40" s="92" t="s">
        <v>27</v>
      </c>
      <c r="F40" s="52">
        <f>G40*0.0005681818</f>
        <v>4.8771334198976346</v>
      </c>
      <c r="G40" s="53">
        <f>H40*1.0936113</f>
        <v>8583.7550936999996</v>
      </c>
      <c r="H40" s="5">
        <f>INT(SUM($O32:$O38))</f>
        <v>7849</v>
      </c>
      <c r="I40" s="120"/>
      <c r="J40" s="123"/>
      <c r="K40" s="124"/>
      <c r="L40" s="159">
        <f>COUNT(S5:S51)-COUNT(V5:V51)</f>
        <v>0</v>
      </c>
      <c r="M40" s="124"/>
      <c r="N40" s="124"/>
      <c r="O40" s="272" t="str">
        <f t="shared" si="3"/>
        <v/>
      </c>
      <c r="P40" s="272"/>
      <c r="Q40" s="272">
        <f t="shared" si="4"/>
        <v>0</v>
      </c>
      <c r="R40" s="272"/>
      <c r="S40" s="272" t="str">
        <f t="shared" si="13"/>
        <v/>
      </c>
      <c r="T40" s="272"/>
      <c r="U40" s="272"/>
      <c r="V40" s="272"/>
      <c r="W40" s="272"/>
      <c r="X40" s="272"/>
      <c r="Y40" s="272"/>
      <c r="Z40" s="272"/>
      <c r="AA40" s="272">
        <f t="shared" si="9"/>
        <v>0</v>
      </c>
      <c r="AB40" s="272">
        <f t="shared" si="14"/>
        <v>0</v>
      </c>
      <c r="AC40" s="272"/>
      <c r="AE40" s="76"/>
      <c r="AF40" s="76"/>
      <c r="AG40" s="311"/>
    </row>
    <row r="41" spans="1:33" ht="17" thickTop="1">
      <c r="A41" s="1"/>
      <c r="B41" s="47">
        <f t="shared" ref="B41:B47" si="44">IF(B$3&lt;C41,0,C41)</f>
        <v>45320</v>
      </c>
      <c r="C41" s="31">
        <f>C38+1</f>
        <v>45320</v>
      </c>
      <c r="D41" s="18">
        <f t="shared" ca="1" si="1"/>
        <v>-29</v>
      </c>
      <c r="E41" s="94" t="str">
        <f>IF(B41=0,"","Monday")</f>
        <v>Monday</v>
      </c>
      <c r="F41" s="45"/>
      <c r="G41" s="46"/>
      <c r="H41" s="46"/>
      <c r="I41" s="279"/>
      <c r="J41" s="101"/>
      <c r="K41" s="152" t="str">
        <f t="shared" ref="K41:K47" si="45">IF(R41=0,"",IF(L41="","",J41))</f>
        <v/>
      </c>
      <c r="L41" s="101"/>
      <c r="M41" s="46" t="str">
        <f>IF(R41=0,"",IF(J41="","",L41))</f>
        <v/>
      </c>
      <c r="N41" s="301"/>
      <c r="O41" s="272">
        <f t="shared" si="3"/>
        <v>1121.3642609495646</v>
      </c>
      <c r="P41" s="272">
        <f t="shared" ref="P41:P47" si="46">H$56</f>
        <v>34759.549826646951</v>
      </c>
      <c r="Q41" s="272">
        <f t="shared" si="4"/>
        <v>34759.549826646951</v>
      </c>
      <c r="R41" s="272">
        <f>IF(R$2=3,H41+G41/1.0936133+F41/0.0006213712,IF(R$2=2,H41*1.0936133+G41+F41/0.0005681818,IF(R$2=1,H41*0.0005681818*1.0936133+G41*0.0005681818+F41,"")))</f>
        <v>0</v>
      </c>
      <c r="S41" s="272" t="str">
        <f t="shared" si="13"/>
        <v/>
      </c>
      <c r="T41" s="272"/>
      <c r="U41" s="272"/>
      <c r="V41" s="272" t="str">
        <f t="shared" ref="V41:V47" si="47">IF(L41="","",IF(R41=0,"",IF(B41=0,"",IF($R$2=3,R41/L41*60/1000,IF($R$2=2,R41/L41*60/1760,IF($R$2=1,R41/L41*60,""))))))</f>
        <v/>
      </c>
      <c r="W41" s="272" t="str">
        <f t="shared" ref="W41:W47" si="48">IF(R41=0,"",IF(L41="","",V41*L41))</f>
        <v/>
      </c>
      <c r="X41" s="272">
        <f>F41+X38</f>
        <v>0</v>
      </c>
      <c r="Y41" s="272">
        <f>G41+Y38</f>
        <v>0</v>
      </c>
      <c r="Z41" s="272">
        <f>H41+Z38</f>
        <v>0</v>
      </c>
      <c r="AA41" s="272">
        <f t="shared" si="9"/>
        <v>0</v>
      </c>
      <c r="AB41" s="272">
        <f t="shared" si="14"/>
        <v>0</v>
      </c>
      <c r="AC41" s="272"/>
      <c r="AE41" s="76"/>
      <c r="AF41" s="76"/>
      <c r="AG41" s="311"/>
    </row>
    <row r="42" spans="1:33">
      <c r="A42" s="1"/>
      <c r="B42" s="4">
        <f t="shared" si="44"/>
        <v>45321</v>
      </c>
      <c r="C42" s="29">
        <f t="shared" ref="C42:C47" si="49">C41+1</f>
        <v>45321</v>
      </c>
      <c r="D42" s="6">
        <f t="shared" ca="1" si="1"/>
        <v>-30</v>
      </c>
      <c r="E42" s="90" t="str">
        <f>IF(B42=0,"","Tuesday")</f>
        <v>Tuesday</v>
      </c>
      <c r="F42" s="45"/>
      <c r="G42" s="46"/>
      <c r="H42" s="46"/>
      <c r="I42" s="279"/>
      <c r="J42" s="46"/>
      <c r="K42" s="152" t="str">
        <f t="shared" si="45"/>
        <v/>
      </c>
      <c r="L42" s="46"/>
      <c r="M42" s="46" t="str">
        <f t="shared" ref="M42:M47" si="50">IF(R42=0,"",IF(J42="","",L42))</f>
        <v/>
      </c>
      <c r="N42" s="301"/>
      <c r="O42" s="272">
        <f t="shared" si="3"/>
        <v>1121.3642609495646</v>
      </c>
      <c r="P42" s="272">
        <f t="shared" si="46"/>
        <v>34759.549826646951</v>
      </c>
      <c r="Q42" s="272">
        <f t="shared" si="4"/>
        <v>34759.549826646951</v>
      </c>
      <c r="R42" s="272">
        <f t="shared" ref="R42:R47" si="51">IF(R$2=3,H42+G42/1.0936133+F42/0.0006213712,IF(R$2=2,H42*1.0936133+G42+F42/0.0005681818,IF(R$2=1,H42*0.0005681818*1.0936133+G42*0.0005681818+F42,"")))</f>
        <v>0</v>
      </c>
      <c r="S42" s="272" t="str">
        <f t="shared" si="13"/>
        <v/>
      </c>
      <c r="T42" s="272"/>
      <c r="U42" s="272"/>
      <c r="V42" s="272" t="str">
        <f t="shared" si="47"/>
        <v/>
      </c>
      <c r="W42" s="272" t="str">
        <f t="shared" si="48"/>
        <v/>
      </c>
      <c r="X42" s="272">
        <f t="shared" ref="X42:Z47" si="52">F42+X41</f>
        <v>0</v>
      </c>
      <c r="Y42" s="272">
        <f t="shared" si="52"/>
        <v>0</v>
      </c>
      <c r="Z42" s="272">
        <f t="shared" si="52"/>
        <v>0</v>
      </c>
      <c r="AA42" s="272">
        <f t="shared" si="9"/>
        <v>0</v>
      </c>
      <c r="AB42" s="272">
        <f t="shared" si="14"/>
        <v>0</v>
      </c>
      <c r="AC42" s="272"/>
      <c r="AE42" s="76"/>
      <c r="AF42" s="76"/>
      <c r="AG42" s="311"/>
    </row>
    <row r="43" spans="1:33">
      <c r="A43" s="1"/>
      <c r="B43" s="4">
        <f t="shared" si="44"/>
        <v>45322</v>
      </c>
      <c r="C43" s="29">
        <f t="shared" si="49"/>
        <v>45322</v>
      </c>
      <c r="D43" s="6">
        <f t="shared" ca="1" si="1"/>
        <v>-31</v>
      </c>
      <c r="E43" s="90" t="str">
        <f>IF(B43=0,"","Wednesday")</f>
        <v>Wednesday</v>
      </c>
      <c r="F43" s="45"/>
      <c r="G43" s="46"/>
      <c r="H43" s="46"/>
      <c r="I43" s="279"/>
      <c r="J43" s="46"/>
      <c r="K43" s="152" t="str">
        <f t="shared" si="45"/>
        <v/>
      </c>
      <c r="L43" s="46"/>
      <c r="M43" s="46" t="str">
        <f t="shared" si="50"/>
        <v/>
      </c>
      <c r="N43" s="301"/>
      <c r="O43" s="272">
        <f t="shared" si="3"/>
        <v>1121.3642609495646</v>
      </c>
      <c r="P43" s="272">
        <f t="shared" si="46"/>
        <v>34759.549826646951</v>
      </c>
      <c r="Q43" s="272">
        <f t="shared" si="4"/>
        <v>34759.549826646951</v>
      </c>
      <c r="R43" s="272">
        <f t="shared" si="51"/>
        <v>0</v>
      </c>
      <c r="S43" s="272" t="str">
        <f t="shared" si="13"/>
        <v/>
      </c>
      <c r="T43" s="272"/>
      <c r="U43" s="272"/>
      <c r="V43" s="272" t="str">
        <f t="shared" si="47"/>
        <v/>
      </c>
      <c r="W43" s="272" t="str">
        <f t="shared" si="48"/>
        <v/>
      </c>
      <c r="X43" s="272">
        <f t="shared" si="52"/>
        <v>0</v>
      </c>
      <c r="Y43" s="272">
        <f t="shared" si="52"/>
        <v>0</v>
      </c>
      <c r="Z43" s="272">
        <f t="shared" si="52"/>
        <v>0</v>
      </c>
      <c r="AA43" s="272">
        <f t="shared" si="9"/>
        <v>0</v>
      </c>
      <c r="AB43" s="272">
        <f t="shared" si="14"/>
        <v>0</v>
      </c>
      <c r="AC43" s="272"/>
      <c r="AE43" s="76"/>
      <c r="AF43" s="76"/>
      <c r="AG43" s="311"/>
    </row>
    <row r="44" spans="1:33">
      <c r="A44" s="1"/>
      <c r="B44" s="4">
        <f t="shared" si="44"/>
        <v>0</v>
      </c>
      <c r="C44" s="29">
        <f t="shared" si="49"/>
        <v>45323</v>
      </c>
      <c r="D44" s="6">
        <f t="shared" ca="1" si="1"/>
        <v>-32</v>
      </c>
      <c r="E44" s="90" t="str">
        <f>IF(B44=0,"","Thursday")</f>
        <v/>
      </c>
      <c r="F44" s="45"/>
      <c r="G44" s="46"/>
      <c r="H44" s="46"/>
      <c r="I44" s="279"/>
      <c r="J44" s="46"/>
      <c r="K44" s="152" t="str">
        <f t="shared" si="45"/>
        <v/>
      </c>
      <c r="L44" s="46"/>
      <c r="M44" s="46" t="str">
        <f t="shared" si="50"/>
        <v/>
      </c>
      <c r="N44" s="301"/>
      <c r="O44" s="272" t="str">
        <f t="shared" si="3"/>
        <v/>
      </c>
      <c r="P44" s="272">
        <f t="shared" si="46"/>
        <v>34759.549826646951</v>
      </c>
      <c r="Q44" s="272">
        <f t="shared" si="4"/>
        <v>34759.549826646951</v>
      </c>
      <c r="R44" s="272">
        <f t="shared" si="51"/>
        <v>0</v>
      </c>
      <c r="S44" s="272" t="str">
        <f t="shared" si="13"/>
        <v/>
      </c>
      <c r="T44" s="272"/>
      <c r="U44" s="272"/>
      <c r="V44" s="272" t="str">
        <f t="shared" si="47"/>
        <v/>
      </c>
      <c r="W44" s="272" t="str">
        <f t="shared" si="48"/>
        <v/>
      </c>
      <c r="X44" s="272">
        <f t="shared" si="52"/>
        <v>0</v>
      </c>
      <c r="Y44" s="272">
        <f t="shared" si="52"/>
        <v>0</v>
      </c>
      <c r="Z44" s="272">
        <f t="shared" si="52"/>
        <v>0</v>
      </c>
      <c r="AA44" s="272">
        <f t="shared" si="9"/>
        <v>0</v>
      </c>
      <c r="AB44" s="272">
        <f t="shared" si="14"/>
        <v>0</v>
      </c>
      <c r="AC44" s="272"/>
      <c r="AE44" s="76"/>
      <c r="AF44" s="76"/>
      <c r="AG44" s="311"/>
    </row>
    <row r="45" spans="1:33">
      <c r="A45" s="1"/>
      <c r="B45" s="4">
        <f t="shared" si="44"/>
        <v>0</v>
      </c>
      <c r="C45" s="29">
        <f t="shared" si="49"/>
        <v>45324</v>
      </c>
      <c r="D45" s="6">
        <f t="shared" ca="1" si="1"/>
        <v>-33</v>
      </c>
      <c r="E45" s="90" t="str">
        <f>IF(B45=0,"","Friday")</f>
        <v/>
      </c>
      <c r="F45" s="45"/>
      <c r="G45" s="46"/>
      <c r="H45" s="46"/>
      <c r="I45" s="279"/>
      <c r="J45" s="46"/>
      <c r="K45" s="152" t="str">
        <f t="shared" si="45"/>
        <v/>
      </c>
      <c r="L45" s="46"/>
      <c r="M45" s="46" t="str">
        <f t="shared" si="50"/>
        <v/>
      </c>
      <c r="N45" s="301"/>
      <c r="O45" s="272" t="str">
        <f t="shared" si="3"/>
        <v/>
      </c>
      <c r="P45" s="272">
        <f t="shared" si="46"/>
        <v>34759.549826646951</v>
      </c>
      <c r="Q45" s="272">
        <f t="shared" si="4"/>
        <v>34759.549826646951</v>
      </c>
      <c r="R45" s="272">
        <f t="shared" si="51"/>
        <v>0</v>
      </c>
      <c r="S45" s="272" t="str">
        <f t="shared" si="13"/>
        <v/>
      </c>
      <c r="T45" s="272"/>
      <c r="U45" s="272"/>
      <c r="V45" s="272" t="str">
        <f t="shared" si="47"/>
        <v/>
      </c>
      <c r="W45" s="272" t="str">
        <f t="shared" si="48"/>
        <v/>
      </c>
      <c r="X45" s="272">
        <f t="shared" si="52"/>
        <v>0</v>
      </c>
      <c r="Y45" s="272">
        <f t="shared" si="52"/>
        <v>0</v>
      </c>
      <c r="Z45" s="272">
        <f t="shared" si="52"/>
        <v>0</v>
      </c>
      <c r="AA45" s="272">
        <f t="shared" si="9"/>
        <v>0</v>
      </c>
      <c r="AB45" s="272">
        <f t="shared" si="14"/>
        <v>0</v>
      </c>
      <c r="AC45" s="272"/>
      <c r="AE45" s="76"/>
      <c r="AF45" s="76"/>
      <c r="AG45" s="311"/>
    </row>
    <row r="46" spans="1:33">
      <c r="A46" s="1"/>
      <c r="B46" s="4">
        <f t="shared" si="44"/>
        <v>0</v>
      </c>
      <c r="C46" s="29">
        <f t="shared" si="49"/>
        <v>45325</v>
      </c>
      <c r="D46" s="6">
        <f t="shared" ca="1" si="1"/>
        <v>-34</v>
      </c>
      <c r="E46" s="90" t="str">
        <f>IF(B46=0,"","Saturday")</f>
        <v/>
      </c>
      <c r="F46" s="45"/>
      <c r="G46" s="46"/>
      <c r="H46" s="46"/>
      <c r="I46" s="279"/>
      <c r="J46" s="46"/>
      <c r="K46" s="152" t="str">
        <f t="shared" si="45"/>
        <v/>
      </c>
      <c r="L46" s="46"/>
      <c r="M46" s="46" t="str">
        <f t="shared" si="50"/>
        <v/>
      </c>
      <c r="N46" s="301"/>
      <c r="O46" s="272" t="str">
        <f t="shared" si="3"/>
        <v/>
      </c>
      <c r="P46" s="272">
        <f t="shared" si="46"/>
        <v>34759.549826646951</v>
      </c>
      <c r="Q46" s="272">
        <f t="shared" si="4"/>
        <v>34759.549826646951</v>
      </c>
      <c r="R46" s="272">
        <f t="shared" si="51"/>
        <v>0</v>
      </c>
      <c r="S46" s="272" t="str">
        <f t="shared" si="13"/>
        <v/>
      </c>
      <c r="T46" s="272"/>
      <c r="U46" s="272"/>
      <c r="V46" s="272" t="str">
        <f t="shared" si="47"/>
        <v/>
      </c>
      <c r="W46" s="272" t="str">
        <f t="shared" si="48"/>
        <v/>
      </c>
      <c r="X46" s="272">
        <f t="shared" si="52"/>
        <v>0</v>
      </c>
      <c r="Y46" s="272">
        <f t="shared" si="52"/>
        <v>0</v>
      </c>
      <c r="Z46" s="272">
        <f t="shared" si="52"/>
        <v>0</v>
      </c>
      <c r="AA46" s="272">
        <f t="shared" si="9"/>
        <v>0</v>
      </c>
      <c r="AB46" s="272">
        <f t="shared" si="14"/>
        <v>0</v>
      </c>
      <c r="AC46" s="272"/>
      <c r="AE46" s="76"/>
      <c r="AF46" s="76"/>
      <c r="AG46" s="311"/>
    </row>
    <row r="47" spans="1:33" ht="17" thickBot="1">
      <c r="A47" s="1"/>
      <c r="B47" s="43">
        <f t="shared" si="44"/>
        <v>0</v>
      </c>
      <c r="C47" s="32">
        <f t="shared" si="49"/>
        <v>45326</v>
      </c>
      <c r="D47" s="44">
        <f t="shared" ca="1" si="1"/>
        <v>-35</v>
      </c>
      <c r="E47" s="93" t="str">
        <f>IF(B47=0,"","Sunday")</f>
        <v/>
      </c>
      <c r="F47" s="45"/>
      <c r="G47" s="46"/>
      <c r="H47" s="46"/>
      <c r="I47" s="279"/>
      <c r="J47" s="46"/>
      <c r="K47" s="152" t="str">
        <f t="shared" si="45"/>
        <v/>
      </c>
      <c r="L47" s="46"/>
      <c r="M47" s="46" t="str">
        <f t="shared" si="50"/>
        <v/>
      </c>
      <c r="N47" s="302"/>
      <c r="O47" s="272" t="str">
        <f t="shared" si="3"/>
        <v/>
      </c>
      <c r="P47" s="272">
        <f t="shared" si="46"/>
        <v>34759.549826646951</v>
      </c>
      <c r="Q47" s="272">
        <f t="shared" si="4"/>
        <v>34759.549826646951</v>
      </c>
      <c r="R47" s="272">
        <f t="shared" si="51"/>
        <v>0</v>
      </c>
      <c r="S47" s="272" t="str">
        <f t="shared" si="13"/>
        <v/>
      </c>
      <c r="T47" s="272"/>
      <c r="U47" s="272"/>
      <c r="V47" s="272" t="str">
        <f t="shared" si="47"/>
        <v/>
      </c>
      <c r="W47" s="272" t="str">
        <f t="shared" si="48"/>
        <v/>
      </c>
      <c r="X47" s="272">
        <f t="shared" si="52"/>
        <v>0</v>
      </c>
      <c r="Y47" s="272">
        <f t="shared" si="52"/>
        <v>0</v>
      </c>
      <c r="Z47" s="272">
        <f t="shared" si="52"/>
        <v>0</v>
      </c>
      <c r="AA47" s="272">
        <f t="shared" si="9"/>
        <v>0</v>
      </c>
      <c r="AB47" s="272">
        <f t="shared" si="14"/>
        <v>0</v>
      </c>
      <c r="AC47" s="272"/>
      <c r="AE47" s="76"/>
      <c r="AF47" s="76"/>
      <c r="AG47" s="311"/>
    </row>
    <row r="48" spans="1:33" ht="17" customHeight="1" thickTop="1">
      <c r="A48" s="25"/>
      <c r="B48" s="12"/>
      <c r="C48" s="33"/>
      <c r="D48" s="50">
        <f t="shared" ca="1" si="1"/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272" t="str">
        <f t="shared" si="3"/>
        <v/>
      </c>
      <c r="P48" s="272"/>
      <c r="Q48" s="272">
        <f t="shared" si="4"/>
        <v>0</v>
      </c>
      <c r="R48" s="272"/>
      <c r="S48" s="272" t="str">
        <f t="shared" si="13"/>
        <v/>
      </c>
      <c r="T48" s="272"/>
      <c r="U48" s="272"/>
      <c r="V48" s="272"/>
      <c r="W48" s="272"/>
      <c r="X48" s="272"/>
      <c r="Y48" s="272" t="str">
        <f>IF(A48=0,"",G48+Y36)</f>
        <v/>
      </c>
      <c r="Z48" s="272" t="str">
        <f>IF(B48=0,"",H48+Z36)</f>
        <v/>
      </c>
      <c r="AA48" s="272"/>
      <c r="AB48" s="272">
        <f t="shared" si="14"/>
        <v>0</v>
      </c>
      <c r="AC48" s="272"/>
      <c r="AE48" s="76"/>
      <c r="AF48" s="76"/>
      <c r="AG48" s="311"/>
    </row>
    <row r="49" spans="1:33" ht="17" thickBot="1">
      <c r="A49" s="24"/>
      <c r="B49" s="13"/>
      <c r="C49" s="30"/>
      <c r="D49" s="51">
        <f t="shared" ca="1" si="1"/>
        <v>45291</v>
      </c>
      <c r="E49" s="92" t="s">
        <v>27</v>
      </c>
      <c r="F49" s="52">
        <f>G49*0.0005681818</f>
        <v>2.0902888042471202</v>
      </c>
      <c r="G49" s="53">
        <f>H49*1.0936113</f>
        <v>3678.9084132000003</v>
      </c>
      <c r="H49" s="5">
        <f>INT(SUM($O41:$O47))</f>
        <v>3364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272" t="str">
        <f t="shared" si="3"/>
        <v/>
      </c>
      <c r="P49" s="272"/>
      <c r="Q49" s="272">
        <f t="shared" si="4"/>
        <v>0</v>
      </c>
      <c r="R49" s="272"/>
      <c r="S49" s="272" t="str">
        <f t="shared" si="13"/>
        <v/>
      </c>
      <c r="T49" s="272"/>
      <c r="U49" s="272"/>
      <c r="V49" s="272"/>
      <c r="W49" s="272"/>
      <c r="X49" s="272"/>
      <c r="Y49" s="272" t="str">
        <f>IF(A49=0,"",G49+Y37)</f>
        <v/>
      </c>
      <c r="Z49" s="272" t="str">
        <f>IF(B49=0,"",H49+Z37)</f>
        <v/>
      </c>
      <c r="AA49" s="272"/>
      <c r="AB49" s="272">
        <f t="shared" si="14"/>
        <v>0</v>
      </c>
      <c r="AC49" s="272"/>
      <c r="AE49" s="76"/>
      <c r="AF49" s="76"/>
      <c r="AG49" s="311"/>
    </row>
    <row r="50" spans="1:33" ht="17" thickTop="1">
      <c r="A50" s="1"/>
      <c r="B50" s="47">
        <f>IF(B$3&lt;C50,0,C50)</f>
        <v>0</v>
      </c>
      <c r="C50" s="31">
        <f>C47+1</f>
        <v>45327</v>
      </c>
      <c r="D50" s="18">
        <f t="shared" ca="1" si="1"/>
        <v>-36</v>
      </c>
      <c r="E50" s="94" t="str">
        <f>IF(B50=0,"","Monday")</f>
        <v/>
      </c>
      <c r="F50" s="45"/>
      <c r="G50" s="46"/>
      <c r="H50" s="46"/>
      <c r="I50" s="279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272" t="str">
        <f t="shared" si="3"/>
        <v/>
      </c>
      <c r="P50" s="272">
        <f>H$56</f>
        <v>34759.549826646951</v>
      </c>
      <c r="Q50" s="272">
        <f t="shared" si="4"/>
        <v>34759.549826646951</v>
      </c>
      <c r="R50" s="272">
        <f>IF(R$2=3,H50+G50/1.0936133+F50/0.0006213712,IF(R$2=2,H50*1.0936133+G50+F50/0.0005681818,IF(R$2=1,H50*0.0005681818*1.0936133+G50*0.0005681818+F50,"")))</f>
        <v>0</v>
      </c>
      <c r="S50" s="272" t="str">
        <f t="shared" si="13"/>
        <v/>
      </c>
      <c r="T50" s="272"/>
      <c r="U50" s="272"/>
      <c r="V50" s="272" t="str">
        <f>IF(L50="","",IF(R50=0,"",IF(B50=0,"",IF($R$2=3,R50/L50*60/1000,IF($R$2=2,R50/L50*60/1760,IF($R$2=1,R50/L50*60,""))))))</f>
        <v/>
      </c>
      <c r="W50" s="272" t="str">
        <f>IF(R50=0,"",IF(L50="","",V50*L50))</f>
        <v/>
      </c>
      <c r="X50" s="272">
        <f>F50+X47</f>
        <v>0</v>
      </c>
      <c r="Y50" s="272">
        <f>G50+Y47</f>
        <v>0</v>
      </c>
      <c r="Z50" s="272">
        <f>H50+Z47</f>
        <v>0</v>
      </c>
      <c r="AA50" s="272">
        <f t="shared" si="9"/>
        <v>0</v>
      </c>
      <c r="AB50" s="272">
        <f t="shared" si="14"/>
        <v>0</v>
      </c>
      <c r="AC50" s="272"/>
      <c r="AE50" s="76"/>
      <c r="AF50" s="76"/>
      <c r="AG50" s="311"/>
    </row>
    <row r="51" spans="1:33" ht="17" thickBot="1">
      <c r="A51" s="1"/>
      <c r="B51" s="4">
        <f>IF(B$3&lt;C51,0,C51)</f>
        <v>0</v>
      </c>
      <c r="C51" s="29">
        <f>C50+1</f>
        <v>45328</v>
      </c>
      <c r="D51" s="6">
        <f t="shared" ca="1" si="1"/>
        <v>-37</v>
      </c>
      <c r="E51" s="90" t="str">
        <f>IF(B51=0,"","Tuesday")</f>
        <v/>
      </c>
      <c r="F51" s="45"/>
      <c r="G51" s="46"/>
      <c r="H51" s="46"/>
      <c r="I51" s="279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272" t="str">
        <f t="shared" si="3"/>
        <v/>
      </c>
      <c r="P51" s="272">
        <f>H$56</f>
        <v>34759.549826646951</v>
      </c>
      <c r="Q51" s="272">
        <f t="shared" si="4"/>
        <v>34759.549826646951</v>
      </c>
      <c r="R51" s="272">
        <f>IF(R$2=3,H51+G51/1.0936133+F51/0.0006213712,IF(R$2=2,H51*1.0936133+G51+F51/0.0005681818,IF(R$2=1,H51*0.0005681818*1.0936133+G51*0.0005681818+F51,"")))</f>
        <v>0</v>
      </c>
      <c r="S51" s="272" t="str">
        <f t="shared" si="13"/>
        <v/>
      </c>
      <c r="T51" s="272"/>
      <c r="U51" s="272"/>
      <c r="V51" s="272" t="str">
        <f>IF(L51="","",IF(R51=0,"",IF(B51=0,"",IF($R$2=3,R51/L51*60/1000,IF($R$2=2,R51/L51*60/1760,IF($R$2=1,R51/L51*60,""))))))</f>
        <v/>
      </c>
      <c r="W51" s="272" t="str">
        <f>IF(R51=0,"",IF(L51="","",V51*L51))</f>
        <v/>
      </c>
      <c r="X51" s="272">
        <f>F51+X50</f>
        <v>0</v>
      </c>
      <c r="Y51" s="272">
        <f>G51+Y50</f>
        <v>0</v>
      </c>
      <c r="Z51" s="272">
        <f>H51+Z50</f>
        <v>0</v>
      </c>
      <c r="AA51" s="272">
        <f t="shared" si="9"/>
        <v>0</v>
      </c>
      <c r="AB51" s="272">
        <f t="shared" si="14"/>
        <v>0</v>
      </c>
      <c r="AC51" s="272"/>
      <c r="AE51" s="76"/>
      <c r="AF51" s="76"/>
      <c r="AG51" s="311"/>
    </row>
    <row r="52" spans="1:33" ht="18" thickTop="1" thickBot="1">
      <c r="A52" s="25"/>
      <c r="B52" s="12"/>
      <c r="C52" s="33"/>
      <c r="D52" s="50"/>
      <c r="E52" s="89" t="s">
        <v>65</v>
      </c>
      <c r="F52" s="49">
        <f ca="1">G52*0.000568181818</f>
        <v>-6.2137005661934355E-59</v>
      </c>
      <c r="G52" s="15">
        <f ca="1">H52*1.0936113</f>
        <v>-1.0936113000000001E-55</v>
      </c>
      <c r="H52" s="102">
        <f ca="1">IF(SUM(B50:B51)=0,-1E-55,IF(TODAY()&gt;=B50,(AA51-AA47)*1000,-2E-55))</f>
        <v>-9.9999999999999999E-56</v>
      </c>
      <c r="I52" s="250"/>
      <c r="J52" s="495" t="s">
        <v>93</v>
      </c>
      <c r="K52" s="496"/>
      <c r="L52" s="496"/>
      <c r="M52" s="253"/>
      <c r="N52" s="254" t="str">
        <f>IF(R$2=1,"Distance (miles)",IF(R$2=2,"Distance (yds)",IF(R$2=3,"Distance (km)","????")))</f>
        <v>Distance (km)</v>
      </c>
      <c r="O52" s="272"/>
      <c r="P52" s="272" t="s">
        <v>1</v>
      </c>
      <c r="Q52" s="272" t="s">
        <v>2</v>
      </c>
      <c r="R52" s="272" t="s">
        <v>3</v>
      </c>
      <c r="S52" s="272" t="s">
        <v>4</v>
      </c>
      <c r="T52" s="272" t="s">
        <v>5</v>
      </c>
      <c r="U52" s="272" t="s">
        <v>6</v>
      </c>
      <c r="V52" s="272" t="s">
        <v>7</v>
      </c>
      <c r="W52" s="272"/>
      <c r="X52" s="272"/>
      <c r="Y52" s="272"/>
      <c r="Z52" s="272"/>
      <c r="AA52" s="272"/>
      <c r="AB52" s="272"/>
      <c r="AC52" s="272"/>
      <c r="AE52" s="76"/>
      <c r="AF52" s="76"/>
      <c r="AG52" s="311"/>
    </row>
    <row r="53" spans="1:33" ht="17" thickBot="1">
      <c r="A53" s="24"/>
      <c r="B53" s="13"/>
      <c r="C53" s="30"/>
      <c r="D53" s="51"/>
      <c r="E53" s="92" t="s">
        <v>27</v>
      </c>
      <c r="F53" s="52">
        <f>G53*0.0005681818</f>
        <v>-6.2137003693434006E-59</v>
      </c>
      <c r="G53" s="53">
        <f>H53*1.0936113</f>
        <v>-1.0936113000000001E-55</v>
      </c>
      <c r="H53" s="104">
        <f>IF(SUM($O50:$O51)=0,-1E-55,SUM($O50:$O51))</f>
        <v>-9.9999999999999999E-56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272" t="s">
        <v>48</v>
      </c>
      <c r="P53" s="272">
        <f t="shared" ref="P53:V53" si="53">COUNTIFS($E$5:$E$51,P52)</f>
        <v>5</v>
      </c>
      <c r="Q53" s="272">
        <f t="shared" si="53"/>
        <v>5</v>
      </c>
      <c r="R53" s="272">
        <f t="shared" si="53"/>
        <v>5</v>
      </c>
      <c r="S53" s="272">
        <f t="shared" si="53"/>
        <v>4</v>
      </c>
      <c r="T53" s="272">
        <f t="shared" si="53"/>
        <v>4</v>
      </c>
      <c r="U53" s="272">
        <f t="shared" si="53"/>
        <v>4</v>
      </c>
      <c r="V53" s="272">
        <f t="shared" si="53"/>
        <v>4</v>
      </c>
      <c r="W53" s="272"/>
      <c r="X53" s="272"/>
      <c r="Y53" s="272"/>
      <c r="Z53" s="272"/>
      <c r="AA53" s="272"/>
      <c r="AB53" s="272"/>
      <c r="AC53" s="272"/>
      <c r="AE53" s="76"/>
      <c r="AF53" s="76"/>
      <c r="AG53" s="311"/>
    </row>
    <row r="54" spans="1:33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4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272" t="s">
        <v>47</v>
      </c>
      <c r="P54" s="272">
        <f t="shared" ref="P54:V54" ca="1" si="55">COUNTIFS($D$5:$D$51,"&gt;-1",$E$5:$E$51,P52)</f>
        <v>0</v>
      </c>
      <c r="Q54" s="272">
        <f t="shared" ca="1" si="55"/>
        <v>0</v>
      </c>
      <c r="R54" s="272">
        <f t="shared" ca="1" si="55"/>
        <v>0</v>
      </c>
      <c r="S54" s="272">
        <f t="shared" ca="1" si="55"/>
        <v>0</v>
      </c>
      <c r="T54" s="272">
        <f t="shared" ca="1" si="55"/>
        <v>0</v>
      </c>
      <c r="U54" s="272">
        <f t="shared" ca="1" si="55"/>
        <v>0</v>
      </c>
      <c r="V54" s="272">
        <f t="shared" ca="1" si="55"/>
        <v>0</v>
      </c>
      <c r="W54" s="272"/>
      <c r="X54" s="272"/>
      <c r="Y54" s="272"/>
      <c r="Z54" s="272"/>
      <c r="AA54" s="272"/>
      <c r="AB54" s="272"/>
      <c r="AC54" s="272"/>
      <c r="AE54" s="76"/>
      <c r="AF54" s="76"/>
      <c r="AG54" s="311"/>
    </row>
    <row r="55" spans="1:33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4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272" t="s">
        <v>66</v>
      </c>
      <c r="P55" s="272">
        <f t="shared" ref="P55:V55" si="56">COUNTIFS($E$5:$E$51,P52,$R$5:$R$51,"&gt;0")</f>
        <v>0</v>
      </c>
      <c r="Q55" s="272">
        <f t="shared" si="56"/>
        <v>0</v>
      </c>
      <c r="R55" s="272">
        <f t="shared" si="56"/>
        <v>0</v>
      </c>
      <c r="S55" s="272">
        <f t="shared" si="56"/>
        <v>0</v>
      </c>
      <c r="T55" s="272">
        <f t="shared" si="56"/>
        <v>0</v>
      </c>
      <c r="U55" s="272">
        <f t="shared" si="56"/>
        <v>0</v>
      </c>
      <c r="V55" s="272">
        <f t="shared" si="56"/>
        <v>0</v>
      </c>
      <c r="W55" s="272"/>
      <c r="X55" s="272"/>
      <c r="Y55" s="272"/>
      <c r="Z55" s="272"/>
      <c r="AA55" s="272"/>
      <c r="AB55" s="272"/>
      <c r="AC55" s="272"/>
      <c r="AE55" s="76"/>
      <c r="AF55" s="76"/>
      <c r="AG55" s="311"/>
    </row>
    <row r="56" spans="1:33" ht="17" thickBot="1">
      <c r="A56" s="27"/>
      <c r="B56" s="35"/>
      <c r="C56" s="35"/>
      <c r="D56" s="35"/>
      <c r="E56" s="17" t="s">
        <v>41</v>
      </c>
      <c r="F56" s="37">
        <f>G56*0.000568181818</f>
        <v>21.598543443846509</v>
      </c>
      <c r="G56" s="38">
        <f>H56*1.0936113</f>
        <v>38013.43647333415</v>
      </c>
      <c r="H56" s="106">
        <f>SUM(H$53,H40,H31,H22,H49,H13)-1</f>
        <v>34759.549826646951</v>
      </c>
      <c r="I56" s="252"/>
      <c r="J56" s="257" t="str">
        <f>'MY STATS'!AI47</f>
        <v/>
      </c>
      <c r="K56" s="126" t="str">
        <f t="shared" si="54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272" t="s">
        <v>106</v>
      </c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E56" s="76"/>
      <c r="AF56" s="76"/>
      <c r="AG56" s="311"/>
    </row>
    <row r="57" spans="1:33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272" t="s">
        <v>97</v>
      </c>
      <c r="P57" s="272">
        <f t="shared" ref="P57:V57" si="57">SUMIF($E$5:$E$51,P52,$S$5:$S$51)</f>
        <v>0</v>
      </c>
      <c r="Q57" s="272">
        <f t="shared" si="57"/>
        <v>0</v>
      </c>
      <c r="R57" s="272">
        <f t="shared" si="57"/>
        <v>0</v>
      </c>
      <c r="S57" s="272">
        <f t="shared" si="57"/>
        <v>0</v>
      </c>
      <c r="T57" s="272">
        <f t="shared" si="57"/>
        <v>0</v>
      </c>
      <c r="U57" s="272">
        <f t="shared" si="57"/>
        <v>0</v>
      </c>
      <c r="V57" s="272">
        <f t="shared" si="57"/>
        <v>0</v>
      </c>
      <c r="W57" s="272"/>
      <c r="X57" s="272"/>
      <c r="Y57" s="272"/>
      <c r="Z57" s="272"/>
      <c r="AA57" s="272"/>
      <c r="AB57" s="272"/>
      <c r="AC57" s="272"/>
      <c r="AE57" s="76"/>
      <c r="AF57" s="76"/>
      <c r="AG57" s="311"/>
    </row>
    <row r="58" spans="1:33" ht="18" thickTop="1" thickBot="1">
      <c r="A58" s="63">
        <f>A1</f>
        <v>1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272" t="s">
        <v>473</v>
      </c>
      <c r="P58" s="272">
        <f>IF(COUNTIFS($E$5:$E$51,P52,$L$5:$L$51,"&gt;0")=0,0,(SUMIF($E$5:$E$51,P52,$L$5:$L$51)+IF(SUMIF($E$5:$E$51,P52,$R$5:$R$51)=0,-SUMIF($E$5:$E$51,P52,$L$5:$L$51)))/60)</f>
        <v>0</v>
      </c>
      <c r="Q58" s="272">
        <f t="shared" ref="Q58:V58" si="58">IF(COUNTIFS($E$5:$E$51,Q52,$L$5:$L$51,"&gt;0")=0,0,(SUMIF($E$5:$E$51,Q52,$L$5:$L$51)+IF(SUMIF($E$5:$E$51,Q52,$R$5:$R$51)=0,-SUMIF($E$5:$E$51,Q52,$L$5:$L$51)))/60)</f>
        <v>0</v>
      </c>
      <c r="R58" s="272">
        <f t="shared" si="58"/>
        <v>0</v>
      </c>
      <c r="S58" s="272">
        <f t="shared" si="58"/>
        <v>0</v>
      </c>
      <c r="T58" s="272">
        <f t="shared" si="58"/>
        <v>0</v>
      </c>
      <c r="U58" s="272">
        <f t="shared" si="58"/>
        <v>0</v>
      </c>
      <c r="V58" s="272">
        <f t="shared" si="58"/>
        <v>0</v>
      </c>
      <c r="W58" s="272"/>
      <c r="X58" s="272"/>
      <c r="Y58" s="272"/>
      <c r="Z58" s="272"/>
      <c r="AA58" s="272"/>
      <c r="AB58" s="272"/>
      <c r="AC58" s="272"/>
      <c r="AE58" s="76"/>
      <c r="AF58" s="76"/>
      <c r="AG58" s="311"/>
    </row>
    <row r="59" spans="1:33" ht="18" thickTop="1" thickBot="1">
      <c r="A59" s="66">
        <f>A1</f>
        <v>1</v>
      </c>
      <c r="B59" s="67"/>
      <c r="C59" s="68"/>
      <c r="D59" s="59"/>
      <c r="E59" s="60" t="s">
        <v>52</v>
      </c>
      <c r="F59" s="61">
        <f>G59*0.000568181818</f>
        <v>21.598321156655796</v>
      </c>
      <c r="G59" s="62">
        <f>H59*1.0936113</f>
        <v>38013.04524787837</v>
      </c>
      <c r="H59" s="107">
        <f>VLOOKUP($A$1,'MY STATS'!B$32:K$43,10)</f>
        <v>34759.192089436503</v>
      </c>
      <c r="I59" s="251"/>
      <c r="J59" s="261" t="s">
        <v>57</v>
      </c>
      <c r="K59" s="262" t="str">
        <f t="shared" si="54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349" t="s">
        <v>88</v>
      </c>
      <c r="P59" s="272">
        <f>IFERROR(IF('MY STATS'!$A16=1,P57/P58,IF('MY STATS'!$A16=2,P57/1760/P58,IF('MY STATS'!$A16=3,P57/1000/P58,0))),0)</f>
        <v>0</v>
      </c>
      <c r="Q59" s="272">
        <f>IFERROR(IF('MY STATS'!$A16=1,Q57/Q58,IF('MY STATS'!$A16=2,Q57/1760/Q58,IF('MY STATS'!$A16=3,Q57/1000/Q58,0))),0)</f>
        <v>0</v>
      </c>
      <c r="R59" s="272">
        <f>IFERROR(IF('MY STATS'!$A16=1,R57/R58,IF('MY STATS'!$A16=2,R57/1760/R58,IF('MY STATS'!$A16=3,R57/1000/R58,0))),0)</f>
        <v>0</v>
      </c>
      <c r="S59" s="272">
        <f>IFERROR(IF('MY STATS'!$A16=1,S57/S58,IF('MY STATS'!$A16=2,S57/1760/S58,IF('MY STATS'!$A16=3,S57/1000/S58,0))),0)</f>
        <v>0</v>
      </c>
      <c r="T59" s="272">
        <f>IFERROR(IF('MY STATS'!$A16=1,T57/T58,IF('MY STATS'!$A16=2,T57/1760/T58,IF('MY STATS'!$A16=3,T57/1000/T58,0))),0)</f>
        <v>0</v>
      </c>
      <c r="U59" s="272">
        <f>IFERROR(IF('MY STATS'!$A16=1,U57/U58,IF('MY STATS'!$A16=2,U57/1760/U58,IF('MY STATS'!$A16=3,U57/1000/U58,0))),0)</f>
        <v>0</v>
      </c>
      <c r="V59" s="272">
        <f>IFERROR(IF('MY STATS'!$A16=1,V57/V58,IF('MY STATS'!$A16=2,V57/1760/V58,IF('MY STATS'!$A16=3,V57/1000/V58,0))),0)</f>
        <v>0</v>
      </c>
      <c r="W59" s="272"/>
      <c r="X59" s="272"/>
      <c r="Y59" s="272"/>
      <c r="Z59" s="272"/>
      <c r="AA59" s="272"/>
      <c r="AB59" s="272"/>
      <c r="AC59" s="272"/>
      <c r="AE59" s="76"/>
      <c r="AF59" s="76"/>
      <c r="AG59" s="311"/>
    </row>
    <row r="60" spans="1:33" ht="17" thickTop="1"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E60" s="76"/>
      <c r="AF60" s="76"/>
      <c r="AG60" s="311"/>
    </row>
    <row r="61" spans="1:33"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E61" s="76"/>
      <c r="AF61" s="76"/>
      <c r="AG61" s="311"/>
    </row>
    <row r="62" spans="1:33" ht="6.75" customHeight="1">
      <c r="O62" s="277"/>
      <c r="AA62"/>
      <c r="AE62" s="76"/>
      <c r="AF62" s="76"/>
      <c r="AG62" s="76"/>
    </row>
    <row r="63" spans="1:33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6"/>
      <c r="AC63" s="76"/>
      <c r="AD63" s="76"/>
      <c r="AE63" s="76"/>
      <c r="AF63" s="76"/>
      <c r="AG63" s="76"/>
    </row>
    <row r="64" spans="1:33">
      <c r="O64" s="76"/>
      <c r="P64" s="76"/>
      <c r="Q64" s="76"/>
      <c r="R64" s="76"/>
      <c r="S64" s="76"/>
      <c r="T64" s="76"/>
      <c r="U64" s="76"/>
      <c r="V64" s="76"/>
      <c r="W64" s="76"/>
      <c r="X64" s="77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O65" s="76"/>
      <c r="P65" s="76"/>
      <c r="Q65" s="76"/>
      <c r="R65" s="76"/>
      <c r="S65" s="76"/>
      <c r="T65" s="76"/>
      <c r="U65" s="76"/>
      <c r="V65" s="77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/>
      <c r="C66"/>
      <c r="D66"/>
      <c r="O66" s="76"/>
      <c r="P66" s="76"/>
      <c r="Q66" s="76"/>
      <c r="R66" s="76"/>
      <c r="S66" s="76"/>
      <c r="T66" s="76"/>
      <c r="U66" s="77"/>
      <c r="V66" s="76"/>
      <c r="W66" s="76"/>
      <c r="X66" s="76"/>
      <c r="Y66" s="76"/>
      <c r="Z66" s="76"/>
      <c r="AA66" s="76"/>
      <c r="AB66" s="76"/>
      <c r="AC66" s="76"/>
      <c r="AD66" s="77"/>
      <c r="AE66" s="76"/>
      <c r="AF66" s="76"/>
      <c r="AG66" s="76"/>
    </row>
    <row r="67" spans="1:33">
      <c r="O67" s="76"/>
      <c r="P67" s="76"/>
      <c r="Q67" s="76"/>
      <c r="R67" s="76"/>
      <c r="S67" s="76"/>
      <c r="T67" s="76"/>
      <c r="U67" s="76"/>
      <c r="V67" s="77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O68" s="76"/>
      <c r="P68" s="76"/>
      <c r="Q68" s="76"/>
      <c r="R68" s="76"/>
      <c r="S68" s="76"/>
      <c r="T68" s="76"/>
      <c r="U68" s="76"/>
      <c r="V68" s="77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O69" s="76"/>
      <c r="P69" s="76"/>
      <c r="Q69" s="76"/>
      <c r="R69" s="76"/>
      <c r="S69" s="76"/>
      <c r="T69" s="76"/>
      <c r="U69" s="76"/>
      <c r="V69" s="77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O70" s="76"/>
      <c r="P70" s="76"/>
      <c r="Q70" s="76"/>
      <c r="R70" s="76"/>
      <c r="S70" s="76"/>
      <c r="T70" s="76"/>
      <c r="U70" s="76"/>
      <c r="V70" s="77"/>
      <c r="W70" s="76"/>
      <c r="X70" s="76"/>
      <c r="Y70" s="76"/>
      <c r="Z70" s="76"/>
      <c r="AA70" s="76"/>
      <c r="AB70" s="76"/>
      <c r="AC70" s="76"/>
      <c r="AD70" s="130"/>
      <c r="AE70" s="76"/>
      <c r="AF70" s="76"/>
      <c r="AG70" s="76"/>
    </row>
    <row r="71" spans="1:33">
      <c r="V71" s="7"/>
      <c r="AA71"/>
      <c r="AD71" s="76"/>
      <c r="AE71" s="76"/>
      <c r="AF71" s="76"/>
      <c r="AG71" s="76"/>
    </row>
    <row r="72" spans="1:33">
      <c r="V72" s="7"/>
      <c r="AA72"/>
      <c r="AD72" s="76"/>
      <c r="AE72" s="76"/>
      <c r="AF72" s="76"/>
      <c r="AG72" s="76"/>
    </row>
    <row r="73" spans="1:33">
      <c r="V73" s="7"/>
      <c r="AA73"/>
      <c r="AD73" s="76"/>
      <c r="AE73" s="76"/>
      <c r="AF73" s="76"/>
      <c r="AG73" s="76"/>
    </row>
    <row r="74" spans="1:33">
      <c r="AD74" s="76"/>
      <c r="AE74" s="76"/>
      <c r="AF74" s="76"/>
      <c r="AG74" s="76"/>
    </row>
    <row r="75" spans="1:33">
      <c r="AD75" s="76"/>
      <c r="AE75" s="76"/>
      <c r="AF75" s="76"/>
      <c r="AG75" s="76"/>
    </row>
    <row r="76" spans="1:33">
      <c r="AD76" s="79"/>
    </row>
    <row r="77" spans="1:33">
      <c r="AD77" s="79"/>
      <c r="AE77" s="79"/>
      <c r="AF77" s="76"/>
    </row>
    <row r="78" spans="1:33">
      <c r="AD78" s="79"/>
      <c r="AE78" s="79"/>
      <c r="AF78" s="76"/>
    </row>
    <row r="79" spans="1:33">
      <c r="AD79" s="79"/>
      <c r="AE79" s="79"/>
      <c r="AF79" s="76"/>
    </row>
    <row r="80" spans="1:33">
      <c r="AD80" s="79"/>
      <c r="AE80" s="79"/>
      <c r="AF80" s="76"/>
    </row>
  </sheetData>
  <sheetProtection sheet="1" objects="1" scenarios="1" selectLockedCells="1"/>
  <mergeCells count="7">
    <mergeCell ref="AE1:AF1"/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16454" priority="7292" stopIfTrue="1" operator="notBetween">
      <formula>$B$2</formula>
      <formula>$B$3</formula>
    </cfRule>
  </conditionalFormatting>
  <conditionalFormatting sqref="B14:B20 B23:B29 B49:B51 B40:B47 B53 B31:B38 D3 B5:B11">
    <cfRule type="cellIs" dxfId="16453" priority="7390" operator="greaterThan">
      <formula>$E$3</formula>
    </cfRule>
    <cfRule type="cellIs" dxfId="16452" priority="7391" operator="equal">
      <formula>$E$3</formula>
    </cfRule>
    <cfRule type="cellIs" dxfId="16451" priority="7392" operator="lessThan">
      <formula>$E$3</formula>
    </cfRule>
  </conditionalFormatting>
  <conditionalFormatting sqref="F58:H58 F55:H55">
    <cfRule type="expression" dxfId="16450" priority="2683">
      <formula>$F55&gt;=$F56</formula>
    </cfRule>
  </conditionalFormatting>
  <conditionalFormatting sqref="F5:H10 F14:G20 F23:G29 F42:H47 F11:G11 F32:G38 F41:G41">
    <cfRule type="cellIs" dxfId="16449" priority="2622" stopIfTrue="1" operator="lessThan">
      <formula>0</formula>
    </cfRule>
  </conditionalFormatting>
  <conditionalFormatting sqref="C32:C38 C41:C47 C50:C51 C14:C20 C23:C29 C5:C11">
    <cfRule type="cellIs" dxfId="16448" priority="2627" stopIfTrue="1" operator="notBetween">
      <formula>$B$2</formula>
      <formula>$B$3</formula>
    </cfRule>
  </conditionalFormatting>
  <conditionalFormatting sqref="C41:C47 C50:C51 C32:C38 C14:C20 C23:C29 C5:C11">
    <cfRule type="cellIs" dxfId="16447" priority="2628" operator="greaterThan">
      <formula>$E$3</formula>
    </cfRule>
    <cfRule type="cellIs" dxfId="16446" priority="2629" operator="equal">
      <formula>$E$3</formula>
    </cfRule>
    <cfRule type="cellIs" dxfId="16445" priority="2630" operator="lessThan">
      <formula>$E$3</formula>
    </cfRule>
  </conditionalFormatting>
  <conditionalFormatting sqref="F14:G20 F23:G29 F42:H47 F32:G38 F41:G41">
    <cfRule type="expression" dxfId="16444" priority="2626">
      <formula>$C14&lt;$E$3</formula>
    </cfRule>
  </conditionalFormatting>
  <conditionalFormatting sqref="F5:H10 F14:G20 F23:G29 F42:H47 F11:G11 F32:G38 F41:G41">
    <cfRule type="expression" dxfId="16443" priority="2623">
      <formula>$C5=$E$3</formula>
    </cfRule>
    <cfRule type="expression" dxfId="16442" priority="2624">
      <formula>$C5&lt;$E$3</formula>
    </cfRule>
    <cfRule type="cellIs" dxfId="16441" priority="2625" operator="equal">
      <formula>0</formula>
    </cfRule>
    <cfRule type="expression" dxfId="16440" priority="2631">
      <formula>$C5&gt;$E$3</formula>
    </cfRule>
  </conditionalFormatting>
  <conditionalFormatting sqref="F12:G12">
    <cfRule type="expression" dxfId="16439" priority="2621">
      <formula>$F12&gt;=$F13</formula>
    </cfRule>
  </conditionalFormatting>
  <conditionalFormatting sqref="F21:G21">
    <cfRule type="expression" dxfId="16438" priority="2620">
      <formula>$F21&gt;=$F22</formula>
    </cfRule>
  </conditionalFormatting>
  <conditionalFormatting sqref="F39:G39">
    <cfRule type="expression" dxfId="16437" priority="2619">
      <formula>$F39&gt;=$F40</formula>
    </cfRule>
  </conditionalFormatting>
  <conditionalFormatting sqref="F30:G30">
    <cfRule type="expression" dxfId="16436" priority="2618">
      <formula>$F30&gt;=$F31</formula>
    </cfRule>
  </conditionalFormatting>
  <conditionalFormatting sqref="F48:H48">
    <cfRule type="expression" dxfId="16435" priority="2616" stopIfTrue="1">
      <formula>$H$48=-1E-55</formula>
    </cfRule>
    <cfRule type="expression" dxfId="16434" priority="2617">
      <formula>$F48&gt;=$F49</formula>
    </cfRule>
  </conditionalFormatting>
  <conditionalFormatting sqref="F14:G20 F23:G29 F42:H47 F32:G38 F41:G41">
    <cfRule type="expression" dxfId="16433" priority="2580">
      <formula>$C14&lt;$E$3</formula>
    </cfRule>
  </conditionalFormatting>
  <conditionalFormatting sqref="F14:G20 F5:H10 F23:G29 F42:H47 F11:G11 F32:G38 F41:G41">
    <cfRule type="expression" dxfId="16432" priority="2576">
      <formula>$C5=$E$3</formula>
    </cfRule>
    <cfRule type="expression" dxfId="16431" priority="2577">
      <formula>$C5&lt;$E$3</formula>
    </cfRule>
    <cfRule type="cellIs" dxfId="16430" priority="2578" operator="equal">
      <formula>0</formula>
    </cfRule>
    <cfRule type="expression" dxfId="16429" priority="2579">
      <formula>$C5&gt;$E$3</formula>
    </cfRule>
  </conditionalFormatting>
  <conditionalFormatting sqref="F12:G12">
    <cfRule type="expression" dxfId="16428" priority="2575">
      <formula>$F12&gt;=$F13</formula>
    </cfRule>
  </conditionalFormatting>
  <conditionalFormatting sqref="F21:G21">
    <cfRule type="expression" dxfId="16427" priority="2574">
      <formula>$F21&gt;=$F22</formula>
    </cfRule>
  </conditionalFormatting>
  <conditionalFormatting sqref="F39:G39">
    <cfRule type="expression" dxfId="16426" priority="2573">
      <formula>$F39&gt;=$F40</formula>
    </cfRule>
  </conditionalFormatting>
  <conditionalFormatting sqref="F30:G30">
    <cfRule type="expression" dxfId="16425" priority="2572">
      <formula>$F30&gt;=$F31</formula>
    </cfRule>
  </conditionalFormatting>
  <conditionalFormatting sqref="F48:H48">
    <cfRule type="expression" dxfId="16424" priority="2570" stopIfTrue="1">
      <formula>$E$41=""</formula>
    </cfRule>
    <cfRule type="expression" dxfId="16423" priority="2571">
      <formula>$F48&gt;=$F49</formula>
    </cfRule>
  </conditionalFormatting>
  <conditionalFormatting sqref="F42:H47 F41:G41">
    <cfRule type="expression" dxfId="16422" priority="2569">
      <formula>$E41=""</formula>
    </cfRule>
  </conditionalFormatting>
  <conditionalFormatting sqref="F47:H47">
    <cfRule type="expression" dxfId="16421" priority="2568">
      <formula>$E$46=""</formula>
    </cfRule>
  </conditionalFormatting>
  <conditionalFormatting sqref="F45:H45">
    <cfRule type="expression" dxfId="16420" priority="2567">
      <formula>$E45=""</formula>
    </cfRule>
  </conditionalFormatting>
  <conditionalFormatting sqref="F5:H10 F11:G11">
    <cfRule type="expression" dxfId="16419" priority="2566">
      <formula>$C5&lt;$E$3</formula>
    </cfRule>
  </conditionalFormatting>
  <conditionalFormatting sqref="F5:H10 F11:G11">
    <cfRule type="expression" dxfId="16418" priority="2565">
      <formula>$E5=""</formula>
    </cfRule>
  </conditionalFormatting>
  <conditionalFormatting sqref="F5:H10 F11:G11">
    <cfRule type="expression" dxfId="16417" priority="2561">
      <formula>$C5=$E$3</formula>
    </cfRule>
    <cfRule type="expression" dxfId="16416" priority="2562">
      <formula>$C5&lt;$E$3</formula>
    </cfRule>
    <cfRule type="cellIs" dxfId="16415" priority="2563" operator="equal">
      <formula>0</formula>
    </cfRule>
    <cfRule type="expression" dxfId="16414" priority="2564">
      <formula>$C5&gt;$E$3</formula>
    </cfRule>
  </conditionalFormatting>
  <conditionalFormatting sqref="F5:H10 F11:G11">
    <cfRule type="expression" dxfId="16413" priority="2560">
      <formula>$C5&lt;$E$3</formula>
    </cfRule>
  </conditionalFormatting>
  <conditionalFormatting sqref="F5:H10 F11:G11">
    <cfRule type="expression" dxfId="16412" priority="2559">
      <formula>$E5=""</formula>
    </cfRule>
  </conditionalFormatting>
  <conditionalFormatting sqref="F14:G20">
    <cfRule type="expression" dxfId="16411" priority="2558">
      <formula>$C14&lt;$E$3</formula>
    </cfRule>
  </conditionalFormatting>
  <conditionalFormatting sqref="F14:G20">
    <cfRule type="expression" dxfId="16410" priority="2554">
      <formula>$C14=$E$3</formula>
    </cfRule>
    <cfRule type="expression" dxfId="16409" priority="2555">
      <formula>$C14&lt;$E$3</formula>
    </cfRule>
    <cfRule type="cellIs" dxfId="16408" priority="2556" operator="equal">
      <formula>0</formula>
    </cfRule>
    <cfRule type="expression" dxfId="16407" priority="2557">
      <formula>$C14&gt;$E$3</formula>
    </cfRule>
  </conditionalFormatting>
  <conditionalFormatting sqref="F5:H10 F11:G11">
    <cfRule type="expression" dxfId="16406" priority="2553">
      <formula>$C5&lt;$E$3</formula>
    </cfRule>
  </conditionalFormatting>
  <conditionalFormatting sqref="F5:H10 F11:G11">
    <cfRule type="expression" dxfId="16405" priority="2549">
      <formula>$C5=$E$3</formula>
    </cfRule>
    <cfRule type="expression" dxfId="16404" priority="2550">
      <formula>$C5&lt;$E$3</formula>
    </cfRule>
    <cfRule type="cellIs" dxfId="16403" priority="2551" operator="equal">
      <formula>0</formula>
    </cfRule>
    <cfRule type="expression" dxfId="16402" priority="2552">
      <formula>$C5&gt;$E$3</formula>
    </cfRule>
  </conditionalFormatting>
  <conditionalFormatting sqref="F5:H10 F11:G11">
    <cfRule type="expression" dxfId="16401" priority="2548">
      <formula>$E5=""</formula>
    </cfRule>
  </conditionalFormatting>
  <conditionalFormatting sqref="F5:H10 F11:G11">
    <cfRule type="expression" dxfId="16400" priority="2547">
      <formula>$C5&lt;$E$3</formula>
    </cfRule>
  </conditionalFormatting>
  <conditionalFormatting sqref="F5:H10 F11:G11">
    <cfRule type="expression" dxfId="16399" priority="2546">
      <formula>$E5=""</formula>
    </cfRule>
  </conditionalFormatting>
  <conditionalFormatting sqref="F5:H10 F11:G11">
    <cfRule type="expression" dxfId="16398" priority="2545">
      <formula>$E5=""</formula>
    </cfRule>
  </conditionalFormatting>
  <conditionalFormatting sqref="F5:H10 F11:G11">
    <cfRule type="expression" dxfId="16397" priority="2544">
      <formula>$C5&lt;$E$3</formula>
    </cfRule>
  </conditionalFormatting>
  <conditionalFormatting sqref="F5:H10 F11:G11">
    <cfRule type="expression" dxfId="16396" priority="2543">
      <formula>$E5=""</formula>
    </cfRule>
  </conditionalFormatting>
  <conditionalFormatting sqref="F5:H10 F11:G11">
    <cfRule type="expression" dxfId="16395" priority="2542">
      <formula>$C5&lt;$E$3</formula>
    </cfRule>
  </conditionalFormatting>
  <conditionalFormatting sqref="F5:H10 F11:G11">
    <cfRule type="expression" dxfId="16394" priority="2541">
      <formula>$E5=""</formula>
    </cfRule>
  </conditionalFormatting>
  <conditionalFormatting sqref="F5:H10 F11:G11">
    <cfRule type="expression" dxfId="16393" priority="2540">
      <formula>$C5&lt;$E$3</formula>
    </cfRule>
  </conditionalFormatting>
  <conditionalFormatting sqref="F5:H10 F11:G11">
    <cfRule type="expression" dxfId="16392" priority="2539">
      <formula>$E5=""</formula>
    </cfRule>
  </conditionalFormatting>
  <conditionalFormatting sqref="F14:G20">
    <cfRule type="expression" dxfId="16391" priority="2538">
      <formula>$C14&lt;$E$3</formula>
    </cfRule>
  </conditionalFormatting>
  <conditionalFormatting sqref="F14:G20">
    <cfRule type="expression" dxfId="16390" priority="2534">
      <formula>$C14=$E$3</formula>
    </cfRule>
    <cfRule type="expression" dxfId="16389" priority="2535">
      <formula>$C14&lt;$E$3</formula>
    </cfRule>
    <cfRule type="cellIs" dxfId="16388" priority="2536" operator="equal">
      <formula>0</formula>
    </cfRule>
    <cfRule type="expression" dxfId="16387" priority="2537">
      <formula>$C14&gt;$E$3</formula>
    </cfRule>
  </conditionalFormatting>
  <conditionalFormatting sqref="F14:G20">
    <cfRule type="expression" dxfId="16386" priority="2533">
      <formula>$E14=""</formula>
    </cfRule>
  </conditionalFormatting>
  <conditionalFormatting sqref="F14:G20">
    <cfRule type="expression" dxfId="16385" priority="2532">
      <formula>$C14&lt;$E$3</formula>
    </cfRule>
  </conditionalFormatting>
  <conditionalFormatting sqref="F14:G20">
    <cfRule type="expression" dxfId="16384" priority="2531">
      <formula>$E14=""</formula>
    </cfRule>
  </conditionalFormatting>
  <conditionalFormatting sqref="F14:G20">
    <cfRule type="expression" dxfId="16383" priority="2530">
      <formula>$E14=""</formula>
    </cfRule>
  </conditionalFormatting>
  <conditionalFormatting sqref="F14:G20">
    <cfRule type="expression" dxfId="16382" priority="2529">
      <formula>$C14&lt;$E$3</formula>
    </cfRule>
  </conditionalFormatting>
  <conditionalFormatting sqref="F14:G20">
    <cfRule type="expression" dxfId="16381" priority="2528">
      <formula>$E14=""</formula>
    </cfRule>
  </conditionalFormatting>
  <conditionalFormatting sqref="F14:G20">
    <cfRule type="expression" dxfId="16380" priority="2527">
      <formula>$C14&lt;$E$3</formula>
    </cfRule>
  </conditionalFormatting>
  <conditionalFormatting sqref="F14:G20">
    <cfRule type="expression" dxfId="16379" priority="2526">
      <formula>$E14=""</formula>
    </cfRule>
  </conditionalFormatting>
  <conditionalFormatting sqref="F14:G20">
    <cfRule type="expression" dxfId="16378" priority="2525">
      <formula>$C14&lt;$E$3</formula>
    </cfRule>
  </conditionalFormatting>
  <conditionalFormatting sqref="F14:G20">
    <cfRule type="expression" dxfId="16377" priority="2524">
      <formula>$E14=""</formula>
    </cfRule>
  </conditionalFormatting>
  <conditionalFormatting sqref="F23:G29">
    <cfRule type="expression" dxfId="16376" priority="2523">
      <formula>$C23&lt;$E$3</formula>
    </cfRule>
  </conditionalFormatting>
  <conditionalFormatting sqref="F23:G29">
    <cfRule type="expression" dxfId="16375" priority="2519">
      <formula>$C23=$E$3</formula>
    </cfRule>
    <cfRule type="expression" dxfId="16374" priority="2520">
      <formula>$C23&lt;$E$3</formula>
    </cfRule>
    <cfRule type="cellIs" dxfId="16373" priority="2521" operator="equal">
      <formula>0</formula>
    </cfRule>
    <cfRule type="expression" dxfId="16372" priority="2522">
      <formula>$C23&gt;$E$3</formula>
    </cfRule>
  </conditionalFormatting>
  <conditionalFormatting sqref="F23:G29">
    <cfRule type="expression" dxfId="16371" priority="2518">
      <formula>$C23&lt;$E$3</formula>
    </cfRule>
  </conditionalFormatting>
  <conditionalFormatting sqref="F23:G29">
    <cfRule type="expression" dxfId="16370" priority="2514">
      <formula>$C23=$E$3</formula>
    </cfRule>
    <cfRule type="expression" dxfId="16369" priority="2515">
      <formula>$C23&lt;$E$3</formula>
    </cfRule>
    <cfRule type="cellIs" dxfId="16368" priority="2516" operator="equal">
      <formula>0</formula>
    </cfRule>
    <cfRule type="expression" dxfId="16367" priority="2517">
      <formula>$C23&gt;$E$3</formula>
    </cfRule>
  </conditionalFormatting>
  <conditionalFormatting sqref="F23:G29">
    <cfRule type="expression" dxfId="16366" priority="2513">
      <formula>$E23=""</formula>
    </cfRule>
  </conditionalFormatting>
  <conditionalFormatting sqref="F23:G29">
    <cfRule type="expression" dxfId="16365" priority="2512">
      <formula>$C23&lt;$E$3</formula>
    </cfRule>
  </conditionalFormatting>
  <conditionalFormatting sqref="F23:G29">
    <cfRule type="expression" dxfId="16364" priority="2511">
      <formula>$E23=""</formula>
    </cfRule>
  </conditionalFormatting>
  <conditionalFormatting sqref="F23:G29">
    <cfRule type="expression" dxfId="16363" priority="2510">
      <formula>$E23=""</formula>
    </cfRule>
  </conditionalFormatting>
  <conditionalFormatting sqref="F23:G29">
    <cfRule type="expression" dxfId="16362" priority="2509">
      <formula>$C23&lt;$E$3</formula>
    </cfRule>
  </conditionalFormatting>
  <conditionalFormatting sqref="F23:G29">
    <cfRule type="expression" dxfId="16361" priority="2508">
      <formula>$E23=""</formula>
    </cfRule>
  </conditionalFormatting>
  <conditionalFormatting sqref="F23:G29">
    <cfRule type="expression" dxfId="16360" priority="2507">
      <formula>$C23&lt;$E$3</formula>
    </cfRule>
  </conditionalFormatting>
  <conditionalFormatting sqref="F23:G29">
    <cfRule type="expression" dxfId="16359" priority="2506">
      <formula>$E23=""</formula>
    </cfRule>
  </conditionalFormatting>
  <conditionalFormatting sqref="F23:G29">
    <cfRule type="expression" dxfId="16358" priority="2505">
      <formula>$C23&lt;$E$3</formula>
    </cfRule>
  </conditionalFormatting>
  <conditionalFormatting sqref="F23:G29">
    <cfRule type="expression" dxfId="16357" priority="2504">
      <formula>$E23=""</formula>
    </cfRule>
  </conditionalFormatting>
  <conditionalFormatting sqref="F32:G38">
    <cfRule type="expression" dxfId="16356" priority="2503">
      <formula>$C32&lt;$E$3</formula>
    </cfRule>
  </conditionalFormatting>
  <conditionalFormatting sqref="F32:G38">
    <cfRule type="expression" dxfId="16355" priority="2499">
      <formula>$C32=$E$3</formula>
    </cfRule>
    <cfRule type="expression" dxfId="16354" priority="2500">
      <formula>$C32&lt;$E$3</formula>
    </cfRule>
    <cfRule type="cellIs" dxfId="16353" priority="2501" operator="equal">
      <formula>0</formula>
    </cfRule>
    <cfRule type="expression" dxfId="16352" priority="2502">
      <formula>$C32&gt;$E$3</formula>
    </cfRule>
  </conditionalFormatting>
  <conditionalFormatting sqref="F32:G38">
    <cfRule type="expression" dxfId="16351" priority="2498">
      <formula>$C32&lt;$E$3</formula>
    </cfRule>
  </conditionalFormatting>
  <conditionalFormatting sqref="F32:G38">
    <cfRule type="expression" dxfId="16350" priority="2494">
      <formula>$C32=$E$3</formula>
    </cfRule>
    <cfRule type="expression" dxfId="16349" priority="2495">
      <formula>$C32&lt;$E$3</formula>
    </cfRule>
    <cfRule type="cellIs" dxfId="16348" priority="2496" operator="equal">
      <formula>0</formula>
    </cfRule>
    <cfRule type="expression" dxfId="16347" priority="2497">
      <formula>$C32&gt;$E$3</formula>
    </cfRule>
  </conditionalFormatting>
  <conditionalFormatting sqref="F32:G38">
    <cfRule type="expression" dxfId="16346" priority="2493">
      <formula>$E32=""</formula>
    </cfRule>
  </conditionalFormatting>
  <conditionalFormatting sqref="F32:G38">
    <cfRule type="expression" dxfId="16345" priority="2492">
      <formula>$C32&lt;$E$3</formula>
    </cfRule>
  </conditionalFormatting>
  <conditionalFormatting sqref="F32:G38">
    <cfRule type="expression" dxfId="16344" priority="2491">
      <formula>$E32=""</formula>
    </cfRule>
  </conditionalFormatting>
  <conditionalFormatting sqref="F32:G38">
    <cfRule type="expression" dxfId="16343" priority="2490">
      <formula>$E32=""</formula>
    </cfRule>
  </conditionalFormatting>
  <conditionalFormatting sqref="F32:G38">
    <cfRule type="expression" dxfId="16342" priority="2489">
      <formula>$C32&lt;$E$3</formula>
    </cfRule>
  </conditionalFormatting>
  <conditionalFormatting sqref="F32:G38">
    <cfRule type="expression" dxfId="16341" priority="2488">
      <formula>$E32=""</formula>
    </cfRule>
  </conditionalFormatting>
  <conditionalFormatting sqref="F32:G38">
    <cfRule type="expression" dxfId="16340" priority="2487">
      <formula>$C32&lt;$E$3</formula>
    </cfRule>
  </conditionalFormatting>
  <conditionalFormatting sqref="F32:G38">
    <cfRule type="expression" dxfId="16339" priority="2486">
      <formula>$E32=""</formula>
    </cfRule>
  </conditionalFormatting>
  <conditionalFormatting sqref="F32:G38">
    <cfRule type="expression" dxfId="16338" priority="2485">
      <formula>$C32&lt;$E$3</formula>
    </cfRule>
  </conditionalFormatting>
  <conditionalFormatting sqref="F32:G38">
    <cfRule type="expression" dxfId="16337" priority="2484">
      <formula>$E32=""</formula>
    </cfRule>
  </conditionalFormatting>
  <conditionalFormatting sqref="F42:H47 F41:G41">
    <cfRule type="expression" dxfId="16336" priority="2483">
      <formula>$C41&lt;$E$3</formula>
    </cfRule>
  </conditionalFormatting>
  <conditionalFormatting sqref="F42:H47 F41:G41">
    <cfRule type="expression" dxfId="16335" priority="2479">
      <formula>$C41=$E$3</formula>
    </cfRule>
    <cfRule type="expression" dxfId="16334" priority="2480">
      <formula>$C41&lt;$E$3</formula>
    </cfRule>
    <cfRule type="cellIs" dxfId="16333" priority="2481" operator="equal">
      <formula>0</formula>
    </cfRule>
    <cfRule type="expression" dxfId="16332" priority="2482">
      <formula>$C41&gt;$E$3</formula>
    </cfRule>
  </conditionalFormatting>
  <conditionalFormatting sqref="F42:H47 F41:G41">
    <cfRule type="expression" dxfId="16331" priority="2478">
      <formula>$C41&lt;$E$3</formula>
    </cfRule>
  </conditionalFormatting>
  <conditionalFormatting sqref="F42:H47 F41:G41">
    <cfRule type="expression" dxfId="16330" priority="2474">
      <formula>$C41=$E$3</formula>
    </cfRule>
    <cfRule type="expression" dxfId="16329" priority="2475">
      <formula>$C41&lt;$E$3</formula>
    </cfRule>
    <cfRule type="cellIs" dxfId="16328" priority="2476" operator="equal">
      <formula>0</formula>
    </cfRule>
    <cfRule type="expression" dxfId="16327" priority="2477">
      <formula>$C41&gt;$E$3</formula>
    </cfRule>
  </conditionalFormatting>
  <conditionalFormatting sqref="F42:H47 F41:G41">
    <cfRule type="expression" dxfId="16326" priority="2473">
      <formula>$E41=""</formula>
    </cfRule>
  </conditionalFormatting>
  <conditionalFormatting sqref="F42:H47 F41:G41">
    <cfRule type="expression" dxfId="16325" priority="2472">
      <formula>$C41&lt;$E$3</formula>
    </cfRule>
  </conditionalFormatting>
  <conditionalFormatting sqref="F42:H47 F41:G41">
    <cfRule type="expression" dxfId="16324" priority="2471">
      <formula>$E41=""</formula>
    </cfRule>
  </conditionalFormatting>
  <conditionalFormatting sqref="F42:H47 F41:G41">
    <cfRule type="expression" dxfId="16323" priority="2470">
      <formula>$E41=""</formula>
    </cfRule>
  </conditionalFormatting>
  <conditionalFormatting sqref="F42:H47 F41:G41">
    <cfRule type="expression" dxfId="16322" priority="2469">
      <formula>$C41&lt;$E$3</formula>
    </cfRule>
  </conditionalFormatting>
  <conditionalFormatting sqref="F42:H47 F41:G41">
    <cfRule type="expression" dxfId="16321" priority="2468">
      <formula>$E41=""</formula>
    </cfRule>
  </conditionalFormatting>
  <conditionalFormatting sqref="F42:H47 F41:G41">
    <cfRule type="expression" dxfId="16320" priority="2467">
      <formula>$C41&lt;$E$3</formula>
    </cfRule>
  </conditionalFormatting>
  <conditionalFormatting sqref="F42:H47 F41:G41">
    <cfRule type="expression" dxfId="16319" priority="2466">
      <formula>$E41=""</formula>
    </cfRule>
  </conditionalFormatting>
  <conditionalFormatting sqref="F42:H47 F41:G41">
    <cfRule type="expression" dxfId="16318" priority="2465">
      <formula>$C41&lt;$E$3</formula>
    </cfRule>
  </conditionalFormatting>
  <conditionalFormatting sqref="F42:H47 F41:G41">
    <cfRule type="expression" dxfId="16317" priority="2464">
      <formula>$E41=""</formula>
    </cfRule>
  </conditionalFormatting>
  <conditionalFormatting sqref="F50:H51">
    <cfRule type="cellIs" dxfId="16316" priority="2463" stopIfTrue="1" operator="lessThan">
      <formula>0</formula>
    </cfRule>
  </conditionalFormatting>
  <conditionalFormatting sqref="F50:H51">
    <cfRule type="expression" dxfId="16315" priority="2462">
      <formula>$C50&lt;$E$3</formula>
    </cfRule>
  </conditionalFormatting>
  <conditionalFormatting sqref="F50:H51">
    <cfRule type="expression" dxfId="16314" priority="2458">
      <formula>$C50=$E$3</formula>
    </cfRule>
    <cfRule type="expression" dxfId="16313" priority="2459">
      <formula>$C50&lt;$E$3</formula>
    </cfRule>
    <cfRule type="cellIs" dxfId="16312" priority="2460" operator="equal">
      <formula>0</formula>
    </cfRule>
    <cfRule type="expression" dxfId="16311" priority="2461">
      <formula>$C50&gt;$E$3</formula>
    </cfRule>
  </conditionalFormatting>
  <conditionalFormatting sqref="F50:H51">
    <cfRule type="expression" dxfId="16310" priority="2457">
      <formula>$C50&lt;$E$3</formula>
    </cfRule>
  </conditionalFormatting>
  <conditionalFormatting sqref="F50:H51">
    <cfRule type="expression" dxfId="16309" priority="2453">
      <formula>$C50=$E$3</formula>
    </cfRule>
    <cfRule type="expression" dxfId="16308" priority="2454">
      <formula>$C50&lt;$E$3</formula>
    </cfRule>
    <cfRule type="cellIs" dxfId="16307" priority="2455" operator="equal">
      <formula>0</formula>
    </cfRule>
    <cfRule type="expression" dxfId="16306" priority="2456">
      <formula>$C50&gt;$E$3</formula>
    </cfRule>
  </conditionalFormatting>
  <conditionalFormatting sqref="F50:H51">
    <cfRule type="expression" dxfId="16305" priority="2452">
      <formula>$C50&lt;$E$3</formula>
    </cfRule>
  </conditionalFormatting>
  <conditionalFormatting sqref="F50:H51">
    <cfRule type="expression" dxfId="16304" priority="2448">
      <formula>$C50=$E$3</formula>
    </cfRule>
    <cfRule type="expression" dxfId="16303" priority="2449">
      <formula>$C50&lt;$E$3</formula>
    </cfRule>
    <cfRule type="cellIs" dxfId="16302" priority="2450" operator="equal">
      <formula>0</formula>
    </cfRule>
    <cfRule type="expression" dxfId="16301" priority="2451">
      <formula>$C50&gt;$E$3</formula>
    </cfRule>
  </conditionalFormatting>
  <conditionalFormatting sqref="F50:H51">
    <cfRule type="expression" dxfId="16300" priority="2447">
      <formula>$C50&lt;$E$3</formula>
    </cfRule>
  </conditionalFormatting>
  <conditionalFormatting sqref="F50:H51">
    <cfRule type="expression" dxfId="16299" priority="2443">
      <formula>$C50=$E$3</formula>
    </cfRule>
    <cfRule type="expression" dxfId="16298" priority="2444">
      <formula>$C50&lt;$E$3</formula>
    </cfRule>
    <cfRule type="cellIs" dxfId="16297" priority="2445" operator="equal">
      <formula>0</formula>
    </cfRule>
    <cfRule type="expression" dxfId="16296" priority="2446">
      <formula>$C50&gt;$E$3</formula>
    </cfRule>
  </conditionalFormatting>
  <conditionalFormatting sqref="F50:H51">
    <cfRule type="expression" dxfId="16295" priority="2442">
      <formula>$E50=""</formula>
    </cfRule>
  </conditionalFormatting>
  <conditionalFormatting sqref="F50:H51">
    <cfRule type="expression" dxfId="16294" priority="2441">
      <formula>$C50&lt;$E$3</formula>
    </cfRule>
  </conditionalFormatting>
  <conditionalFormatting sqref="F50:H51">
    <cfRule type="expression" dxfId="16293" priority="2440">
      <formula>$E50=""</formula>
    </cfRule>
  </conditionalFormatting>
  <conditionalFormatting sqref="F50:H51">
    <cfRule type="expression" dxfId="16292" priority="2439">
      <formula>$E50=""</formula>
    </cfRule>
  </conditionalFormatting>
  <conditionalFormatting sqref="F50:H51">
    <cfRule type="expression" dxfId="16291" priority="2438">
      <formula>$C50&lt;$E$3</formula>
    </cfRule>
  </conditionalFormatting>
  <conditionalFormatting sqref="F50:H51">
    <cfRule type="expression" dxfId="16290" priority="2437">
      <formula>$E50=""</formula>
    </cfRule>
  </conditionalFormatting>
  <conditionalFormatting sqref="F50:H51">
    <cfRule type="expression" dxfId="16289" priority="2436">
      <formula>$C50&lt;$E$3</formula>
    </cfRule>
  </conditionalFormatting>
  <conditionalFormatting sqref="F50:H51">
    <cfRule type="expression" dxfId="16288" priority="2435">
      <formula>$E50=""</formula>
    </cfRule>
  </conditionalFormatting>
  <conditionalFormatting sqref="F50:H51">
    <cfRule type="expression" dxfId="16287" priority="2434">
      <formula>$C50&lt;$E$3</formula>
    </cfRule>
  </conditionalFormatting>
  <conditionalFormatting sqref="F50:H51">
    <cfRule type="expression" dxfId="16286" priority="2433">
      <formula>$E50=""</formula>
    </cfRule>
  </conditionalFormatting>
  <conditionalFormatting sqref="E14:E20 E5:E11 E41:E47 E32:E38 E23:E29 E50:E51">
    <cfRule type="containsText" dxfId="16285" priority="2426" operator="containsText" text="Sa">
      <formula>NOT(ISERROR(SEARCH("Sa",E5)))</formula>
    </cfRule>
    <cfRule type="containsText" dxfId="16284" priority="2428" operator="containsText" text="Fr">
      <formula>NOT(ISERROR(SEARCH("Fr",E5)))</formula>
    </cfRule>
    <cfRule type="containsText" dxfId="16283" priority="2429" operator="containsText" text="Th">
      <formula>NOT(ISERROR(SEARCH("Th",E5)))</formula>
    </cfRule>
  </conditionalFormatting>
  <conditionalFormatting sqref="E14:E20 E5:E11 E41:E47 E32:E38 E23:E29 E50:E51">
    <cfRule type="containsText" dxfId="16282" priority="2430" operator="containsText" text="Wed">
      <formula>NOT(ISERROR(SEARCH("Wed",E5)))</formula>
    </cfRule>
    <cfRule type="containsText" dxfId="16281" priority="2431" operator="containsText" text="Tu">
      <formula>NOT(ISERROR(SEARCH("Tu",E5)))</formula>
    </cfRule>
    <cfRule type="beginsWith" dxfId="16280" priority="2432" operator="beginsWith" text="M">
      <formula>LEFT(E5,1)="M"</formula>
    </cfRule>
  </conditionalFormatting>
  <conditionalFormatting sqref="E14:E20 E5:E11 E41:E47 E32:E38 E23:E29 E50:E51">
    <cfRule type="containsText" dxfId="16279" priority="2427" operator="containsText" text="Su">
      <formula>NOT(ISERROR(SEARCH("Su",E5)))</formula>
    </cfRule>
  </conditionalFormatting>
  <conditionalFormatting sqref="C4">
    <cfRule type="cellIs" dxfId="16278" priority="2422" stopIfTrue="1" operator="notBetween">
      <formula>$B$2</formula>
      <formula>$B$3</formula>
    </cfRule>
  </conditionalFormatting>
  <conditionalFormatting sqref="C4">
    <cfRule type="cellIs" dxfId="16277" priority="2423" operator="greaterThan">
      <formula>$E$3</formula>
    </cfRule>
    <cfRule type="cellIs" dxfId="16276" priority="2424" operator="equal">
      <formula>$E$3</formula>
    </cfRule>
    <cfRule type="cellIs" dxfId="16275" priority="2425" operator="lessThan">
      <formula>$E$3</formula>
    </cfRule>
  </conditionalFormatting>
  <conditionalFormatting sqref="H14:H19 H11">
    <cfRule type="cellIs" dxfId="16274" priority="2109" stopIfTrue="1" operator="lessThan">
      <formula>0</formula>
    </cfRule>
  </conditionalFormatting>
  <conditionalFormatting sqref="H12">
    <cfRule type="expression" dxfId="16273" priority="2108">
      <formula>$F12&gt;=$F13</formula>
    </cfRule>
  </conditionalFormatting>
  <conditionalFormatting sqref="H12">
    <cfRule type="expression" dxfId="16272" priority="2105">
      <formula>$F12&gt;=$F13</formula>
    </cfRule>
  </conditionalFormatting>
  <conditionalFormatting sqref="H11">
    <cfRule type="expression" dxfId="16271" priority="2101">
      <formula>$C11&lt;$E$3</formula>
    </cfRule>
  </conditionalFormatting>
  <conditionalFormatting sqref="H11">
    <cfRule type="expression" dxfId="16270" priority="2098">
      <formula>$C11=$E$3</formula>
    </cfRule>
    <cfRule type="expression" dxfId="16269" priority="2099">
      <formula>$C11&lt;$E$3</formula>
    </cfRule>
    <cfRule type="cellIs" dxfId="16268" priority="2100" operator="equal">
      <formula>0</formula>
    </cfRule>
    <cfRule type="expression" dxfId="16267" priority="2102">
      <formula>$C11&gt;$E$3</formula>
    </cfRule>
  </conditionalFormatting>
  <conditionalFormatting sqref="H11">
    <cfRule type="expression" dxfId="16266" priority="2097">
      <formula>$C11&lt;$E$3</formula>
    </cfRule>
  </conditionalFormatting>
  <conditionalFormatting sqref="H11">
    <cfRule type="expression" dxfId="16265" priority="2093">
      <formula>$C11=$E$3</formula>
    </cfRule>
    <cfRule type="expression" dxfId="16264" priority="2094">
      <formula>$C11&lt;$E$3</formula>
    </cfRule>
    <cfRule type="cellIs" dxfId="16263" priority="2095" operator="equal">
      <formula>0</formula>
    </cfRule>
    <cfRule type="expression" dxfId="16262" priority="2096">
      <formula>$C11&gt;$E$3</formula>
    </cfRule>
  </conditionalFormatting>
  <conditionalFormatting sqref="H11">
    <cfRule type="expression" dxfId="16261" priority="2092">
      <formula>$C11&lt;$E$3</formula>
    </cfRule>
  </conditionalFormatting>
  <conditionalFormatting sqref="H11">
    <cfRule type="expression" dxfId="16260" priority="2088">
      <formula>$C11=$E$3</formula>
    </cfRule>
    <cfRule type="expression" dxfId="16259" priority="2089">
      <formula>$C11&lt;$E$3</formula>
    </cfRule>
    <cfRule type="cellIs" dxfId="16258" priority="2090" operator="equal">
      <formula>0</formula>
    </cfRule>
    <cfRule type="expression" dxfId="16257" priority="2091">
      <formula>$C11&gt;$E$3</formula>
    </cfRule>
  </conditionalFormatting>
  <conditionalFormatting sqref="H11">
    <cfRule type="expression" dxfId="16256" priority="2087">
      <formula>$C11&lt;$E$3</formula>
    </cfRule>
  </conditionalFormatting>
  <conditionalFormatting sqref="H11">
    <cfRule type="expression" dxfId="16255" priority="2083">
      <formula>$C11=$E$3</formula>
    </cfRule>
    <cfRule type="expression" dxfId="16254" priority="2084">
      <formula>$C11&lt;$E$3</formula>
    </cfRule>
    <cfRule type="cellIs" dxfId="16253" priority="2085" operator="equal">
      <formula>0</formula>
    </cfRule>
    <cfRule type="expression" dxfId="16252" priority="2086">
      <formula>$C11&gt;$E$3</formula>
    </cfRule>
  </conditionalFormatting>
  <conditionalFormatting sqref="H11">
    <cfRule type="expression" dxfId="16251" priority="2082">
      <formula>$E11=""</formula>
    </cfRule>
  </conditionalFormatting>
  <conditionalFormatting sqref="H11">
    <cfRule type="expression" dxfId="16250" priority="2081">
      <formula>$C11&lt;$E$3</formula>
    </cfRule>
  </conditionalFormatting>
  <conditionalFormatting sqref="H11">
    <cfRule type="expression" dxfId="16249" priority="2080">
      <formula>$E11=""</formula>
    </cfRule>
  </conditionalFormatting>
  <conditionalFormatting sqref="H11">
    <cfRule type="expression" dxfId="16248" priority="2079">
      <formula>$E11=""</formula>
    </cfRule>
  </conditionalFormatting>
  <conditionalFormatting sqref="H11">
    <cfRule type="expression" dxfId="16247" priority="2078">
      <formula>$C11&lt;$E$3</formula>
    </cfRule>
  </conditionalFormatting>
  <conditionalFormatting sqref="H11">
    <cfRule type="expression" dxfId="16246" priority="2077">
      <formula>$E11=""</formula>
    </cfRule>
  </conditionalFormatting>
  <conditionalFormatting sqref="H11">
    <cfRule type="expression" dxfId="16245" priority="2076">
      <formula>$C11&lt;$E$3</formula>
    </cfRule>
  </conditionalFormatting>
  <conditionalFormatting sqref="H11">
    <cfRule type="expression" dxfId="16244" priority="2075">
      <formula>$E11=""</formula>
    </cfRule>
  </conditionalFormatting>
  <conditionalFormatting sqref="H11">
    <cfRule type="expression" dxfId="16243" priority="2074">
      <formula>$C11&lt;$E$3</formula>
    </cfRule>
  </conditionalFormatting>
  <conditionalFormatting sqref="H11">
    <cfRule type="expression" dxfId="16242" priority="2073">
      <formula>$E11=""</formula>
    </cfRule>
  </conditionalFormatting>
  <conditionalFormatting sqref="H14:H19">
    <cfRule type="expression" dxfId="16241" priority="2071">
      <formula>$C14&lt;$E$3</formula>
    </cfRule>
  </conditionalFormatting>
  <conditionalFormatting sqref="H14:H19">
    <cfRule type="expression" dxfId="16240" priority="2068">
      <formula>$C14=$E$3</formula>
    </cfRule>
    <cfRule type="expression" dxfId="16239" priority="2069">
      <formula>$C14&lt;$E$3</formula>
    </cfRule>
    <cfRule type="cellIs" dxfId="16238" priority="2070" operator="equal">
      <formula>0</formula>
    </cfRule>
    <cfRule type="expression" dxfId="16237" priority="2072">
      <formula>$C14&gt;$E$3</formula>
    </cfRule>
  </conditionalFormatting>
  <conditionalFormatting sqref="H14:H19">
    <cfRule type="expression" dxfId="16236" priority="2067">
      <formula>$C14&lt;$E$3</formula>
    </cfRule>
  </conditionalFormatting>
  <conditionalFormatting sqref="H14:H19">
    <cfRule type="expression" dxfId="16235" priority="2063">
      <formula>$C14=$E$3</formula>
    </cfRule>
    <cfRule type="expression" dxfId="16234" priority="2064">
      <formula>$C14&lt;$E$3</formula>
    </cfRule>
    <cfRule type="cellIs" dxfId="16233" priority="2065" operator="equal">
      <formula>0</formula>
    </cfRule>
    <cfRule type="expression" dxfId="16232" priority="2066">
      <formula>$C14&gt;$E$3</formula>
    </cfRule>
  </conditionalFormatting>
  <conditionalFormatting sqref="H14:H19">
    <cfRule type="expression" dxfId="16231" priority="2062">
      <formula>$C14&lt;$E$3</formula>
    </cfRule>
  </conditionalFormatting>
  <conditionalFormatting sqref="H14:H19">
    <cfRule type="expression" dxfId="16230" priority="2058">
      <formula>$C14=$E$3</formula>
    </cfRule>
    <cfRule type="expression" dxfId="16229" priority="2059">
      <formula>$C14&lt;$E$3</formula>
    </cfRule>
    <cfRule type="cellIs" dxfId="16228" priority="2060" operator="equal">
      <formula>0</formula>
    </cfRule>
    <cfRule type="expression" dxfId="16227" priority="2061">
      <formula>$C14&gt;$E$3</formula>
    </cfRule>
  </conditionalFormatting>
  <conditionalFormatting sqref="H14:H19">
    <cfRule type="expression" dxfId="16226" priority="2057">
      <formula>$C14&lt;$E$3</formula>
    </cfRule>
  </conditionalFormatting>
  <conditionalFormatting sqref="H14:H19">
    <cfRule type="expression" dxfId="16225" priority="2053">
      <formula>$C14=$E$3</formula>
    </cfRule>
    <cfRule type="expression" dxfId="16224" priority="2054">
      <formula>$C14&lt;$E$3</formula>
    </cfRule>
    <cfRule type="cellIs" dxfId="16223" priority="2055" operator="equal">
      <formula>0</formula>
    </cfRule>
    <cfRule type="expression" dxfId="16222" priority="2056">
      <formula>$C14&gt;$E$3</formula>
    </cfRule>
  </conditionalFormatting>
  <conditionalFormatting sqref="H14:H19">
    <cfRule type="expression" dxfId="16221" priority="2052">
      <formula>$E14=""</formula>
    </cfRule>
  </conditionalFormatting>
  <conditionalFormatting sqref="H14:H19">
    <cfRule type="expression" dxfId="16220" priority="2051">
      <formula>$C14&lt;$E$3</formula>
    </cfRule>
  </conditionalFormatting>
  <conditionalFormatting sqref="H14:H19">
    <cfRule type="expression" dxfId="16219" priority="2050">
      <formula>$E14=""</formula>
    </cfRule>
  </conditionalFormatting>
  <conditionalFormatting sqref="H14:H19">
    <cfRule type="expression" dxfId="16218" priority="2049">
      <formula>$E14=""</formula>
    </cfRule>
  </conditionalFormatting>
  <conditionalFormatting sqref="H14:H19">
    <cfRule type="expression" dxfId="16217" priority="2048">
      <formula>$C14&lt;$E$3</formula>
    </cfRule>
  </conditionalFormatting>
  <conditionalFormatting sqref="H14:H19">
    <cfRule type="expression" dxfId="16216" priority="2047">
      <formula>$E14=""</formula>
    </cfRule>
  </conditionalFormatting>
  <conditionalFormatting sqref="H14:H19">
    <cfRule type="expression" dxfId="16215" priority="2046">
      <formula>$C14&lt;$E$3</formula>
    </cfRule>
  </conditionalFormatting>
  <conditionalFormatting sqref="H14:H19">
    <cfRule type="expression" dxfId="16214" priority="2045">
      <formula>$E14=""</formula>
    </cfRule>
  </conditionalFormatting>
  <conditionalFormatting sqref="H14:H19">
    <cfRule type="expression" dxfId="16213" priority="2044">
      <formula>$C14&lt;$E$3</formula>
    </cfRule>
  </conditionalFormatting>
  <conditionalFormatting sqref="H14:H19">
    <cfRule type="expression" dxfId="16212" priority="2043">
      <formula>$E14=""</formula>
    </cfRule>
  </conditionalFormatting>
  <conditionalFormatting sqref="F52:H52">
    <cfRule type="expression" dxfId="16211" priority="7398" stopIfTrue="1">
      <formula>$H$52=-1E-55</formula>
    </cfRule>
    <cfRule type="expression" dxfId="16210" priority="7399">
      <formula>$F52&gt;=$F53</formula>
    </cfRule>
  </conditionalFormatting>
  <conditionalFormatting sqref="M5:M11 M50:M51">
    <cfRule type="expression" dxfId="16209" priority="882">
      <formula>$E5=""</formula>
    </cfRule>
  </conditionalFormatting>
  <conditionalFormatting sqref="M5:M11 M50:M51">
    <cfRule type="expression" dxfId="16208" priority="880">
      <formula>$C5&lt;$E$3</formula>
    </cfRule>
  </conditionalFormatting>
  <conditionalFormatting sqref="M5:M11 M50:M51">
    <cfRule type="expression" dxfId="16207" priority="859">
      <formula>$C5&lt;$E$3</formula>
    </cfRule>
  </conditionalFormatting>
  <conditionalFormatting sqref="M5:M11 M50:M51">
    <cfRule type="expression" dxfId="16206" priority="850">
      <formula>$C5&lt;$E$3</formula>
    </cfRule>
  </conditionalFormatting>
  <conditionalFormatting sqref="K10">
    <cfRule type="expression" dxfId="16205" priority="829">
      <formula>$C10&lt;$E$3</formula>
    </cfRule>
  </conditionalFormatting>
  <conditionalFormatting sqref="K19">
    <cfRule type="expression" dxfId="16204" priority="526">
      <formula>$C19&lt;$E$3</formula>
    </cfRule>
  </conditionalFormatting>
  <conditionalFormatting sqref="K19">
    <cfRule type="expression" dxfId="16203" priority="521">
      <formula>$C19&lt;$E$3</formula>
    </cfRule>
  </conditionalFormatting>
  <conditionalFormatting sqref="K19">
    <cfRule type="expression" dxfId="16202" priority="496">
      <formula>$C19&lt;$E$3</formula>
    </cfRule>
  </conditionalFormatting>
  <conditionalFormatting sqref="K19">
    <cfRule type="expression" dxfId="16201" priority="491">
      <formula>$C19&lt;$E$3</formula>
    </cfRule>
  </conditionalFormatting>
  <conditionalFormatting sqref="K14:K18">
    <cfRule type="expression" dxfId="16200" priority="466">
      <formula>$C14&lt;$E$3</formula>
    </cfRule>
  </conditionalFormatting>
  <conditionalFormatting sqref="K14:K18">
    <cfRule type="expression" dxfId="16199" priority="461">
      <formula>$C14&lt;$E$3</formula>
    </cfRule>
  </conditionalFormatting>
  <conditionalFormatting sqref="K10">
    <cfRule type="expression" dxfId="16198" priority="786">
      <formula>$C10&lt;$E$3</formula>
    </cfRule>
  </conditionalFormatting>
  <conditionalFormatting sqref="K5:K9">
    <cfRule type="expression" dxfId="16197" priority="784">
      <formula>$C5&lt;$E$3</formula>
    </cfRule>
  </conditionalFormatting>
  <conditionalFormatting sqref="K5:K9">
    <cfRule type="expression" dxfId="16196" priority="756">
      <formula>$C5&lt;$E$3</formula>
    </cfRule>
  </conditionalFormatting>
  <conditionalFormatting sqref="K5:K9">
    <cfRule type="expression" dxfId="16195" priority="754">
      <formula>$C5&lt;$E$3</formula>
    </cfRule>
  </conditionalFormatting>
  <conditionalFormatting sqref="K5:K9">
    <cfRule type="expression" dxfId="16194" priority="726">
      <formula>$C5&lt;$E$3</formula>
    </cfRule>
  </conditionalFormatting>
  <conditionalFormatting sqref="K50:K51">
    <cfRule type="expression" dxfId="16193" priority="715">
      <formula>$C50&lt;$E$3</formula>
    </cfRule>
  </conditionalFormatting>
  <conditionalFormatting sqref="K50:K51">
    <cfRule type="expression" dxfId="16192" priority="680">
      <formula>$C50&lt;$E$3</formula>
    </cfRule>
  </conditionalFormatting>
  <conditionalFormatting sqref="J14:J20 J41:J47 L14:M20 L32:M38 L41:M47 J23:J29 J32:J38 L23:M29">
    <cfRule type="expression" dxfId="16191" priority="620">
      <formula>$E14=""</formula>
    </cfRule>
  </conditionalFormatting>
  <conditionalFormatting sqref="M14:M20 M32:M38 M41:M47 M23:M29">
    <cfRule type="expression" dxfId="16190" priority="617">
      <formula>$C14&lt;$E$3</formula>
    </cfRule>
  </conditionalFormatting>
  <conditionalFormatting sqref="M14:M20 M32:M38 M41:M47 M23:M29">
    <cfRule type="expression" dxfId="16189" priority="589">
      <formula>$C14&lt;$E$3</formula>
    </cfRule>
  </conditionalFormatting>
  <conditionalFormatting sqref="M14:M20 M32:M38 M41:M47 M23:M29">
    <cfRule type="expression" dxfId="16188" priority="587">
      <formula>$C14&lt;$E$3</formula>
    </cfRule>
  </conditionalFormatting>
  <conditionalFormatting sqref="M14:M20 M32:M38 M41:M47 M23:M29">
    <cfRule type="expression" dxfId="16187" priority="559">
      <formula>$C14&lt;$E$3</formula>
    </cfRule>
  </conditionalFormatting>
  <conditionalFormatting sqref="K19">
    <cfRule type="expression" dxfId="16186" priority="512">
      <formula>$C19&lt;$E$3</formula>
    </cfRule>
  </conditionalFormatting>
  <conditionalFormatting sqref="K14:K18">
    <cfRule type="expression" dxfId="16185" priority="482">
      <formula>$C14&lt;$E$3</formula>
    </cfRule>
  </conditionalFormatting>
  <conditionalFormatting sqref="K14:K18">
    <cfRule type="expression" dxfId="16184" priority="452">
      <formula>$C14&lt;$E$3</formula>
    </cfRule>
  </conditionalFormatting>
  <conditionalFormatting sqref="K14:K18">
    <cfRule type="expression" dxfId="16183" priority="436">
      <formula>$C14&lt;$E$3</formula>
    </cfRule>
  </conditionalFormatting>
  <conditionalFormatting sqref="K14:K18">
    <cfRule type="expression" dxfId="16182" priority="431">
      <formula>$C14&lt;$E$3</formula>
    </cfRule>
  </conditionalFormatting>
  <conditionalFormatting sqref="K14:K20">
    <cfRule type="expression" dxfId="16181" priority="421">
      <formula>$E14=""</formula>
    </cfRule>
  </conditionalFormatting>
  <conditionalFormatting sqref="K28">
    <cfRule type="expression" dxfId="16180" priority="389">
      <formula>$C28&lt;$E$3</formula>
    </cfRule>
  </conditionalFormatting>
  <conditionalFormatting sqref="K28">
    <cfRule type="expression" dxfId="16179" priority="384">
      <formula>$C28&lt;$E$3</formula>
    </cfRule>
  </conditionalFormatting>
  <conditionalFormatting sqref="K28">
    <cfRule type="expression" dxfId="16178" priority="375">
      <formula>$C28&lt;$E$3</formula>
    </cfRule>
  </conditionalFormatting>
  <conditionalFormatting sqref="K28">
    <cfRule type="expression" dxfId="16177" priority="359">
      <formula>$C28&lt;$E$3</formula>
    </cfRule>
  </conditionalFormatting>
  <conditionalFormatting sqref="K28">
    <cfRule type="expression" dxfId="16176" priority="354">
      <formula>$C28&lt;$E$3</formula>
    </cfRule>
  </conditionalFormatting>
  <conditionalFormatting sqref="K23:K27">
    <cfRule type="expression" dxfId="16175" priority="345">
      <formula>$C23&lt;$E$3</formula>
    </cfRule>
  </conditionalFormatting>
  <conditionalFormatting sqref="K23:K27">
    <cfRule type="expression" dxfId="16174" priority="329">
      <formula>$C23&lt;$E$3</formula>
    </cfRule>
  </conditionalFormatting>
  <conditionalFormatting sqref="K23:K27">
    <cfRule type="expression" dxfId="16173" priority="324">
      <formula>$C23&lt;$E$3</formula>
    </cfRule>
  </conditionalFormatting>
  <conditionalFormatting sqref="K23:K27">
    <cfRule type="expression" dxfId="16172" priority="315">
      <formula>$C23&lt;$E$3</formula>
    </cfRule>
  </conditionalFormatting>
  <conditionalFormatting sqref="K23:K27">
    <cfRule type="expression" dxfId="16171" priority="299">
      <formula>$C23&lt;$E$3</formula>
    </cfRule>
  </conditionalFormatting>
  <conditionalFormatting sqref="K23:K27">
    <cfRule type="expression" dxfId="16170" priority="294">
      <formula>$C23&lt;$E$3</formula>
    </cfRule>
  </conditionalFormatting>
  <conditionalFormatting sqref="K23:K29">
    <cfRule type="expression" dxfId="16169" priority="284">
      <formula>$E23=""</formula>
    </cfRule>
  </conditionalFormatting>
  <conditionalFormatting sqref="K37">
    <cfRule type="expression" dxfId="16168" priority="258">
      <formula>$C37&lt;$E$3</formula>
    </cfRule>
  </conditionalFormatting>
  <conditionalFormatting sqref="K37">
    <cfRule type="expression" dxfId="16167" priority="254">
      <formula>$C37=$E$3</formula>
    </cfRule>
    <cfRule type="expression" dxfId="16166" priority="255">
      <formula>$C37&lt;$E$3</formula>
    </cfRule>
    <cfRule type="cellIs" dxfId="16165" priority="256" operator="equal">
      <formula>0</formula>
    </cfRule>
    <cfRule type="expression" dxfId="16164" priority="257">
      <formula>$C37&gt;$E$3</formula>
    </cfRule>
  </conditionalFormatting>
  <conditionalFormatting sqref="K37">
    <cfRule type="expression" dxfId="16163" priority="243">
      <formula>$C37&lt;$E$3</formula>
    </cfRule>
  </conditionalFormatting>
  <conditionalFormatting sqref="K37">
    <cfRule type="expression" dxfId="16162" priority="239">
      <formula>$C37=$E$3</formula>
    </cfRule>
    <cfRule type="expression" dxfId="16161" priority="240">
      <formula>$C37&lt;$E$3</formula>
    </cfRule>
    <cfRule type="cellIs" dxfId="16160" priority="241" operator="equal">
      <formula>0</formula>
    </cfRule>
    <cfRule type="expression" dxfId="16159" priority="242">
      <formula>$C37&gt;$E$3</formula>
    </cfRule>
  </conditionalFormatting>
  <conditionalFormatting sqref="K37">
    <cfRule type="expression" dxfId="16158" priority="228">
      <formula>$C37&lt;$E$3</formula>
    </cfRule>
  </conditionalFormatting>
  <conditionalFormatting sqref="K37">
    <cfRule type="expression" dxfId="16157" priority="224">
      <formula>$C37=$E$3</formula>
    </cfRule>
    <cfRule type="expression" dxfId="16156" priority="225">
      <formula>$C37&lt;$E$3</formula>
    </cfRule>
    <cfRule type="cellIs" dxfId="16155" priority="226" operator="equal">
      <formula>0</formula>
    </cfRule>
    <cfRule type="expression" dxfId="16154" priority="227">
      <formula>$C37&gt;$E$3</formula>
    </cfRule>
  </conditionalFormatting>
  <conditionalFormatting sqref="K32:K36">
    <cfRule type="expression" dxfId="16153" priority="213">
      <formula>$C32&lt;$E$3</formula>
    </cfRule>
  </conditionalFormatting>
  <conditionalFormatting sqref="K32:K36">
    <cfRule type="expression" dxfId="16152" priority="209">
      <formula>$C32=$E$3</formula>
    </cfRule>
    <cfRule type="expression" dxfId="16151" priority="210">
      <formula>$C32&lt;$E$3</formula>
    </cfRule>
    <cfRule type="cellIs" dxfId="16150" priority="211" operator="equal">
      <formula>0</formula>
    </cfRule>
    <cfRule type="expression" dxfId="16149" priority="212">
      <formula>$C32&gt;$E$3</formula>
    </cfRule>
  </conditionalFormatting>
  <conditionalFormatting sqref="K32:K36">
    <cfRule type="expression" dxfId="16148" priority="193">
      <formula>$E32=""</formula>
    </cfRule>
  </conditionalFormatting>
  <conditionalFormatting sqref="K32:K36">
    <cfRule type="expression" dxfId="16147" priority="189">
      <formula>$C32&lt;$E$3</formula>
    </cfRule>
  </conditionalFormatting>
  <conditionalFormatting sqref="H38 H41">
    <cfRule type="cellIs" dxfId="16146" priority="1099" stopIfTrue="1" operator="lessThan">
      <formula>0</formula>
    </cfRule>
  </conditionalFormatting>
  <conditionalFormatting sqref="H38 H41">
    <cfRule type="expression" dxfId="16145" priority="1103">
      <formula>$C38&lt;$E$3</formula>
    </cfRule>
  </conditionalFormatting>
  <conditionalFormatting sqref="H38 H41">
    <cfRule type="expression" dxfId="16144" priority="1100">
      <formula>$C38=$E$3</formula>
    </cfRule>
    <cfRule type="expression" dxfId="16143" priority="1101">
      <formula>$C38&lt;$E$3</formula>
    </cfRule>
    <cfRule type="cellIs" dxfId="16142" priority="1102" operator="equal">
      <formula>0</formula>
    </cfRule>
    <cfRule type="expression" dxfId="16141" priority="1104">
      <formula>$C38&gt;$E$3</formula>
    </cfRule>
  </conditionalFormatting>
  <conditionalFormatting sqref="H39">
    <cfRule type="expression" dxfId="16140" priority="1098">
      <formula>$F39&gt;=$F40</formula>
    </cfRule>
  </conditionalFormatting>
  <conditionalFormatting sqref="H38 H41">
    <cfRule type="expression" dxfId="16139" priority="1097">
      <formula>$C38&lt;$E$3</formula>
    </cfRule>
  </conditionalFormatting>
  <conditionalFormatting sqref="H38 H41">
    <cfRule type="expression" dxfId="16138" priority="1093">
      <formula>$C38=$E$3</formula>
    </cfRule>
    <cfRule type="expression" dxfId="16137" priority="1094">
      <formula>$C38&lt;$E$3</formula>
    </cfRule>
    <cfRule type="cellIs" dxfId="16136" priority="1095" operator="equal">
      <formula>0</formula>
    </cfRule>
    <cfRule type="expression" dxfId="16135" priority="1096">
      <formula>$C38&gt;$E$3</formula>
    </cfRule>
  </conditionalFormatting>
  <conditionalFormatting sqref="H39">
    <cfRule type="expression" dxfId="16134" priority="1092">
      <formula>$F39&gt;=$F40</formula>
    </cfRule>
  </conditionalFormatting>
  <conditionalFormatting sqref="H41">
    <cfRule type="expression" dxfId="16133" priority="1091">
      <formula>$E41=""</formula>
    </cfRule>
  </conditionalFormatting>
  <conditionalFormatting sqref="H38">
    <cfRule type="expression" dxfId="16132" priority="1090">
      <formula>$C38&lt;$E$3</formula>
    </cfRule>
  </conditionalFormatting>
  <conditionalFormatting sqref="H38">
    <cfRule type="expression" dxfId="16131" priority="1086">
      <formula>$C38=$E$3</formula>
    </cfRule>
    <cfRule type="expression" dxfId="16130" priority="1087">
      <formula>$C38&lt;$E$3</formula>
    </cfRule>
    <cfRule type="cellIs" dxfId="16129" priority="1088" operator="equal">
      <formula>0</formula>
    </cfRule>
    <cfRule type="expression" dxfId="16128" priority="1089">
      <formula>$C38&gt;$E$3</formula>
    </cfRule>
  </conditionalFormatting>
  <conditionalFormatting sqref="H38">
    <cfRule type="expression" dxfId="16127" priority="1085">
      <formula>$C38&lt;$E$3</formula>
    </cfRule>
  </conditionalFormatting>
  <conditionalFormatting sqref="H38">
    <cfRule type="expression" dxfId="16126" priority="1081">
      <formula>$C38=$E$3</formula>
    </cfRule>
    <cfRule type="expression" dxfId="16125" priority="1082">
      <formula>$C38&lt;$E$3</formula>
    </cfRule>
    <cfRule type="cellIs" dxfId="16124" priority="1083" operator="equal">
      <formula>0</formula>
    </cfRule>
    <cfRule type="expression" dxfId="16123" priority="1084">
      <formula>$C38&gt;$E$3</formula>
    </cfRule>
  </conditionalFormatting>
  <conditionalFormatting sqref="H38">
    <cfRule type="expression" dxfId="16122" priority="1080">
      <formula>$E38=""</formula>
    </cfRule>
  </conditionalFormatting>
  <conditionalFormatting sqref="H38">
    <cfRule type="expression" dxfId="16121" priority="1079">
      <formula>$C38&lt;$E$3</formula>
    </cfRule>
  </conditionalFormatting>
  <conditionalFormatting sqref="H38">
    <cfRule type="expression" dxfId="16120" priority="1078">
      <formula>$E38=""</formula>
    </cfRule>
  </conditionalFormatting>
  <conditionalFormatting sqref="H38">
    <cfRule type="expression" dxfId="16119" priority="1077">
      <formula>$E38=""</formula>
    </cfRule>
  </conditionalFormatting>
  <conditionalFormatting sqref="H38">
    <cfRule type="expression" dxfId="16118" priority="1076">
      <formula>$C38&lt;$E$3</formula>
    </cfRule>
  </conditionalFormatting>
  <conditionalFormatting sqref="H38">
    <cfRule type="expression" dxfId="16117" priority="1075">
      <formula>$E38=""</formula>
    </cfRule>
  </conditionalFormatting>
  <conditionalFormatting sqref="H38">
    <cfRule type="expression" dxfId="16116" priority="1074">
      <formula>$C38&lt;$E$3</formula>
    </cfRule>
  </conditionalFormatting>
  <conditionalFormatting sqref="H38">
    <cfRule type="expression" dxfId="16115" priority="1073">
      <formula>$E38=""</formula>
    </cfRule>
  </conditionalFormatting>
  <conditionalFormatting sqref="H38">
    <cfRule type="expression" dxfId="16114" priority="1072">
      <formula>$C38&lt;$E$3</formula>
    </cfRule>
  </conditionalFormatting>
  <conditionalFormatting sqref="H38">
    <cfRule type="expression" dxfId="16113" priority="1071">
      <formula>$E38=""</formula>
    </cfRule>
  </conditionalFormatting>
  <conditionalFormatting sqref="H41">
    <cfRule type="expression" dxfId="16112" priority="1070">
      <formula>$C41&lt;$E$3</formula>
    </cfRule>
  </conditionalFormatting>
  <conditionalFormatting sqref="H41">
    <cfRule type="expression" dxfId="16111" priority="1066">
      <formula>$C41=$E$3</formula>
    </cfRule>
    <cfRule type="expression" dxfId="16110" priority="1067">
      <formula>$C41&lt;$E$3</formula>
    </cfRule>
    <cfRule type="cellIs" dxfId="16109" priority="1068" operator="equal">
      <formula>0</formula>
    </cfRule>
    <cfRule type="expression" dxfId="16108" priority="1069">
      <formula>$C41&gt;$E$3</formula>
    </cfRule>
  </conditionalFormatting>
  <conditionalFormatting sqref="H41">
    <cfRule type="expression" dxfId="16107" priority="1065">
      <formula>$C41&lt;$E$3</formula>
    </cfRule>
  </conditionalFormatting>
  <conditionalFormatting sqref="H41">
    <cfRule type="expression" dxfId="16106" priority="1061">
      <formula>$C41=$E$3</formula>
    </cfRule>
    <cfRule type="expression" dxfId="16105" priority="1062">
      <formula>$C41&lt;$E$3</formula>
    </cfRule>
    <cfRule type="cellIs" dxfId="16104" priority="1063" operator="equal">
      <formula>0</formula>
    </cfRule>
    <cfRule type="expression" dxfId="16103" priority="1064">
      <formula>$C41&gt;$E$3</formula>
    </cfRule>
  </conditionalFormatting>
  <conditionalFormatting sqref="H41">
    <cfRule type="expression" dxfId="16102" priority="1060">
      <formula>$E41=""</formula>
    </cfRule>
  </conditionalFormatting>
  <conditionalFormatting sqref="H41">
    <cfRule type="expression" dxfId="16101" priority="1059">
      <formula>$C41&lt;$E$3</formula>
    </cfRule>
  </conditionalFormatting>
  <conditionalFormatting sqref="H41">
    <cfRule type="expression" dxfId="16100" priority="1058">
      <formula>$E41=""</formula>
    </cfRule>
  </conditionalFormatting>
  <conditionalFormatting sqref="H41">
    <cfRule type="expression" dxfId="16099" priority="1057">
      <formula>$E41=""</formula>
    </cfRule>
  </conditionalFormatting>
  <conditionalFormatting sqref="H41">
    <cfRule type="expression" dxfId="16098" priority="1056">
      <formula>$C41&lt;$E$3</formula>
    </cfRule>
  </conditionalFormatting>
  <conditionalFormatting sqref="H41">
    <cfRule type="expression" dxfId="16097" priority="1055">
      <formula>$E41=""</formula>
    </cfRule>
  </conditionalFormatting>
  <conditionalFormatting sqref="H41">
    <cfRule type="expression" dxfId="16096" priority="1054">
      <formula>$C41&lt;$E$3</formula>
    </cfRule>
  </conditionalFormatting>
  <conditionalFormatting sqref="H41">
    <cfRule type="expression" dxfId="16095" priority="1053">
      <formula>$E41=""</formula>
    </cfRule>
  </conditionalFormatting>
  <conditionalFormatting sqref="H41">
    <cfRule type="expression" dxfId="16094" priority="1052">
      <formula>$C41&lt;$E$3</formula>
    </cfRule>
  </conditionalFormatting>
  <conditionalFormatting sqref="H41">
    <cfRule type="expression" dxfId="16093" priority="1051">
      <formula>$E41=""</formula>
    </cfRule>
  </conditionalFormatting>
  <conditionalFormatting sqref="H23:H29 H32 H20">
    <cfRule type="cellIs" dxfId="16092" priority="1050" stopIfTrue="1" operator="lessThan">
      <formula>0</formula>
    </cfRule>
  </conditionalFormatting>
  <conditionalFormatting sqref="H21">
    <cfRule type="expression" dxfId="16091" priority="1049">
      <formula>$F21&gt;=$F22</formula>
    </cfRule>
  </conditionalFormatting>
  <conditionalFormatting sqref="H30">
    <cfRule type="expression" dxfId="16090" priority="1048">
      <formula>$F30&gt;=$F31</formula>
    </cfRule>
  </conditionalFormatting>
  <conditionalFormatting sqref="H21">
    <cfRule type="expression" dxfId="16089" priority="1047">
      <formula>$F21&gt;=$F22</formula>
    </cfRule>
  </conditionalFormatting>
  <conditionalFormatting sqref="H30">
    <cfRule type="expression" dxfId="16088" priority="1046">
      <formula>$F30&gt;=$F31</formula>
    </cfRule>
  </conditionalFormatting>
  <conditionalFormatting sqref="H20">
    <cfRule type="expression" dxfId="16087" priority="1044">
      <formula>$C20&lt;$E$3</formula>
    </cfRule>
  </conditionalFormatting>
  <conditionalFormatting sqref="H20">
    <cfRule type="expression" dxfId="16086" priority="1041">
      <formula>$C20=$E$3</formula>
    </cfRule>
    <cfRule type="expression" dxfId="16085" priority="1042">
      <formula>$C20&lt;$E$3</formula>
    </cfRule>
    <cfRule type="cellIs" dxfId="16084" priority="1043" operator="equal">
      <formula>0</formula>
    </cfRule>
    <cfRule type="expression" dxfId="16083" priority="1045">
      <formula>$C20&gt;$E$3</formula>
    </cfRule>
  </conditionalFormatting>
  <conditionalFormatting sqref="H20">
    <cfRule type="expression" dxfId="16082" priority="1040">
      <formula>$C20&lt;$E$3</formula>
    </cfRule>
  </conditionalFormatting>
  <conditionalFormatting sqref="H20">
    <cfRule type="expression" dxfId="16081" priority="1036">
      <formula>$C20=$E$3</formula>
    </cfRule>
    <cfRule type="expression" dxfId="16080" priority="1037">
      <formula>$C20&lt;$E$3</formula>
    </cfRule>
    <cfRule type="cellIs" dxfId="16079" priority="1038" operator="equal">
      <formula>0</formula>
    </cfRule>
    <cfRule type="expression" dxfId="16078" priority="1039">
      <formula>$C20&gt;$E$3</formula>
    </cfRule>
  </conditionalFormatting>
  <conditionalFormatting sqref="H20">
    <cfRule type="expression" dxfId="16077" priority="1035">
      <formula>$C20&lt;$E$3</formula>
    </cfRule>
  </conditionalFormatting>
  <conditionalFormatting sqref="H20">
    <cfRule type="expression" dxfId="16076" priority="1031">
      <formula>$C20=$E$3</formula>
    </cfRule>
    <cfRule type="expression" dxfId="16075" priority="1032">
      <formula>$C20&lt;$E$3</formula>
    </cfRule>
    <cfRule type="cellIs" dxfId="16074" priority="1033" operator="equal">
      <formula>0</formula>
    </cfRule>
    <cfRule type="expression" dxfId="16073" priority="1034">
      <formula>$C20&gt;$E$3</formula>
    </cfRule>
  </conditionalFormatting>
  <conditionalFormatting sqref="H20">
    <cfRule type="expression" dxfId="16072" priority="1030">
      <formula>$C20&lt;$E$3</formula>
    </cfRule>
  </conditionalFormatting>
  <conditionalFormatting sqref="H20">
    <cfRule type="expression" dxfId="16071" priority="1026">
      <formula>$C20=$E$3</formula>
    </cfRule>
    <cfRule type="expression" dxfId="16070" priority="1027">
      <formula>$C20&lt;$E$3</formula>
    </cfRule>
    <cfRule type="cellIs" dxfId="16069" priority="1028" operator="equal">
      <formula>0</formula>
    </cfRule>
    <cfRule type="expression" dxfId="16068" priority="1029">
      <formula>$C20&gt;$E$3</formula>
    </cfRule>
  </conditionalFormatting>
  <conditionalFormatting sqref="H20">
    <cfRule type="expression" dxfId="16067" priority="1025">
      <formula>$E20=""</formula>
    </cfRule>
  </conditionalFormatting>
  <conditionalFormatting sqref="H20">
    <cfRule type="expression" dxfId="16066" priority="1024">
      <formula>$C20&lt;$E$3</formula>
    </cfRule>
  </conditionalFormatting>
  <conditionalFormatting sqref="H20">
    <cfRule type="expression" dxfId="16065" priority="1023">
      <formula>$E20=""</formula>
    </cfRule>
  </conditionalFormatting>
  <conditionalFormatting sqref="H20">
    <cfRule type="expression" dxfId="16064" priority="1022">
      <formula>$E20=""</formula>
    </cfRule>
  </conditionalFormatting>
  <conditionalFormatting sqref="H20">
    <cfRule type="expression" dxfId="16063" priority="1021">
      <formula>$C20&lt;$E$3</formula>
    </cfRule>
  </conditionalFormatting>
  <conditionalFormatting sqref="H20">
    <cfRule type="expression" dxfId="16062" priority="1020">
      <formula>$E20=""</formula>
    </cfRule>
  </conditionalFormatting>
  <conditionalFormatting sqref="H20">
    <cfRule type="expression" dxfId="16061" priority="1019">
      <formula>$C20&lt;$E$3</formula>
    </cfRule>
  </conditionalFormatting>
  <conditionalFormatting sqref="H20">
    <cfRule type="expression" dxfId="16060" priority="1018">
      <formula>$E20=""</formula>
    </cfRule>
  </conditionalFormatting>
  <conditionalFormatting sqref="H20">
    <cfRule type="expression" dxfId="16059" priority="1017">
      <formula>$C20&lt;$E$3</formula>
    </cfRule>
  </conditionalFormatting>
  <conditionalFormatting sqref="H20">
    <cfRule type="expression" dxfId="16058" priority="1016">
      <formula>$E20=""</formula>
    </cfRule>
  </conditionalFormatting>
  <conditionalFormatting sqref="H23:H29">
    <cfRule type="expression" dxfId="16057" priority="1014">
      <formula>$C23&lt;$E$3</formula>
    </cfRule>
  </conditionalFormatting>
  <conditionalFormatting sqref="H23:H29">
    <cfRule type="expression" dxfId="16056" priority="1011">
      <formula>$C23=$E$3</formula>
    </cfRule>
    <cfRule type="expression" dxfId="16055" priority="1012">
      <formula>$C23&lt;$E$3</formula>
    </cfRule>
    <cfRule type="cellIs" dxfId="16054" priority="1013" operator="equal">
      <formula>0</formula>
    </cfRule>
    <cfRule type="expression" dxfId="16053" priority="1015">
      <formula>$C23&gt;$E$3</formula>
    </cfRule>
  </conditionalFormatting>
  <conditionalFormatting sqref="H23:H29">
    <cfRule type="expression" dxfId="16052" priority="1010">
      <formula>$C23&lt;$E$3</formula>
    </cfRule>
  </conditionalFormatting>
  <conditionalFormatting sqref="H23:H29">
    <cfRule type="expression" dxfId="16051" priority="1006">
      <formula>$C23=$E$3</formula>
    </cfRule>
    <cfRule type="expression" dxfId="16050" priority="1007">
      <formula>$C23&lt;$E$3</formula>
    </cfRule>
    <cfRule type="cellIs" dxfId="16049" priority="1008" operator="equal">
      <formula>0</formula>
    </cfRule>
    <cfRule type="expression" dxfId="16048" priority="1009">
      <formula>$C23&gt;$E$3</formula>
    </cfRule>
  </conditionalFormatting>
  <conditionalFormatting sqref="H23:H29">
    <cfRule type="expression" dxfId="16047" priority="1005">
      <formula>$C23&lt;$E$3</formula>
    </cfRule>
  </conditionalFormatting>
  <conditionalFormatting sqref="H23:H29">
    <cfRule type="expression" dxfId="16046" priority="1001">
      <formula>$C23=$E$3</formula>
    </cfRule>
    <cfRule type="expression" dxfId="16045" priority="1002">
      <formula>$C23&lt;$E$3</formula>
    </cfRule>
    <cfRule type="cellIs" dxfId="16044" priority="1003" operator="equal">
      <formula>0</formula>
    </cfRule>
    <cfRule type="expression" dxfId="16043" priority="1004">
      <formula>$C23&gt;$E$3</formula>
    </cfRule>
  </conditionalFormatting>
  <conditionalFormatting sqref="H23:H29">
    <cfRule type="expression" dxfId="16042" priority="1000">
      <formula>$C23&lt;$E$3</formula>
    </cfRule>
  </conditionalFormatting>
  <conditionalFormatting sqref="H23:H29">
    <cfRule type="expression" dxfId="16041" priority="996">
      <formula>$C23=$E$3</formula>
    </cfRule>
    <cfRule type="expression" dxfId="16040" priority="997">
      <formula>$C23&lt;$E$3</formula>
    </cfRule>
    <cfRule type="cellIs" dxfId="16039" priority="998" operator="equal">
      <formula>0</formula>
    </cfRule>
    <cfRule type="expression" dxfId="16038" priority="999">
      <formula>$C23&gt;$E$3</formula>
    </cfRule>
  </conditionalFormatting>
  <conditionalFormatting sqref="H23:H29">
    <cfRule type="expression" dxfId="16037" priority="995">
      <formula>$E23=""</formula>
    </cfRule>
  </conditionalFormatting>
  <conditionalFormatting sqref="H23:H29">
    <cfRule type="expression" dxfId="16036" priority="994">
      <formula>$C23&lt;$E$3</formula>
    </cfRule>
  </conditionalFormatting>
  <conditionalFormatting sqref="H23:H29">
    <cfRule type="expression" dxfId="16035" priority="993">
      <formula>$E23=""</formula>
    </cfRule>
  </conditionalFormatting>
  <conditionalFormatting sqref="H23:H29">
    <cfRule type="expression" dxfId="16034" priority="992">
      <formula>$E23=""</formula>
    </cfRule>
  </conditionalFormatting>
  <conditionalFormatting sqref="H23:H29">
    <cfRule type="expression" dxfId="16033" priority="991">
      <formula>$C23&lt;$E$3</formula>
    </cfRule>
  </conditionalFormatting>
  <conditionalFormatting sqref="H23:H29">
    <cfRule type="expression" dxfId="16032" priority="990">
      <formula>$E23=""</formula>
    </cfRule>
  </conditionalFormatting>
  <conditionalFormatting sqref="H23:H29">
    <cfRule type="expression" dxfId="16031" priority="989">
      <formula>$C23&lt;$E$3</formula>
    </cfRule>
  </conditionalFormatting>
  <conditionalFormatting sqref="H23:H29">
    <cfRule type="expression" dxfId="16030" priority="988">
      <formula>$E23=""</formula>
    </cfRule>
  </conditionalFormatting>
  <conditionalFormatting sqref="H23:H29">
    <cfRule type="expression" dxfId="16029" priority="987">
      <formula>$C23&lt;$E$3</formula>
    </cfRule>
  </conditionalFormatting>
  <conditionalFormatting sqref="H23:H29">
    <cfRule type="expression" dxfId="16028" priority="986">
      <formula>$E23=""</formula>
    </cfRule>
  </conditionalFormatting>
  <conditionalFormatting sqref="H32">
    <cfRule type="expression" dxfId="16027" priority="984">
      <formula>$C32&lt;$E$3</formula>
    </cfRule>
  </conditionalFormatting>
  <conditionalFormatting sqref="H32">
    <cfRule type="expression" dxfId="16026" priority="981">
      <formula>$C32=$E$3</formula>
    </cfRule>
    <cfRule type="expression" dxfId="16025" priority="982">
      <formula>$C32&lt;$E$3</formula>
    </cfRule>
    <cfRule type="cellIs" dxfId="16024" priority="983" operator="equal">
      <formula>0</formula>
    </cfRule>
    <cfRule type="expression" dxfId="16023" priority="985">
      <formula>$C32&gt;$E$3</formula>
    </cfRule>
  </conditionalFormatting>
  <conditionalFormatting sqref="H32">
    <cfRule type="expression" dxfId="16022" priority="980">
      <formula>$C32&lt;$E$3</formula>
    </cfRule>
  </conditionalFormatting>
  <conditionalFormatting sqref="H32">
    <cfRule type="expression" dxfId="16021" priority="976">
      <formula>$C32=$E$3</formula>
    </cfRule>
    <cfRule type="expression" dxfId="16020" priority="977">
      <formula>$C32&lt;$E$3</formula>
    </cfRule>
    <cfRule type="cellIs" dxfId="16019" priority="978" operator="equal">
      <formula>0</formula>
    </cfRule>
    <cfRule type="expression" dxfId="16018" priority="979">
      <formula>$C32&gt;$E$3</formula>
    </cfRule>
  </conditionalFormatting>
  <conditionalFormatting sqref="H32">
    <cfRule type="expression" dxfId="16017" priority="975">
      <formula>$C32&lt;$E$3</formula>
    </cfRule>
  </conditionalFormatting>
  <conditionalFormatting sqref="H32">
    <cfRule type="expression" dxfId="16016" priority="971">
      <formula>$C32=$E$3</formula>
    </cfRule>
    <cfRule type="expression" dxfId="16015" priority="972">
      <formula>$C32&lt;$E$3</formula>
    </cfRule>
    <cfRule type="cellIs" dxfId="16014" priority="973" operator="equal">
      <formula>0</formula>
    </cfRule>
    <cfRule type="expression" dxfId="16013" priority="974">
      <formula>$C32&gt;$E$3</formula>
    </cfRule>
  </conditionalFormatting>
  <conditionalFormatting sqref="H32">
    <cfRule type="expression" dxfId="16012" priority="970">
      <formula>$C32&lt;$E$3</formula>
    </cfRule>
  </conditionalFormatting>
  <conditionalFormatting sqref="H32">
    <cfRule type="expression" dxfId="16011" priority="966">
      <formula>$C32=$E$3</formula>
    </cfRule>
    <cfRule type="expression" dxfId="16010" priority="967">
      <formula>$C32&lt;$E$3</formula>
    </cfRule>
    <cfRule type="cellIs" dxfId="16009" priority="968" operator="equal">
      <formula>0</formula>
    </cfRule>
    <cfRule type="expression" dxfId="16008" priority="969">
      <formula>$C32&gt;$E$3</formula>
    </cfRule>
  </conditionalFormatting>
  <conditionalFormatting sqref="H32">
    <cfRule type="expression" dxfId="16007" priority="965">
      <formula>$E32=""</formula>
    </cfRule>
  </conditionalFormatting>
  <conditionalFormatting sqref="H32">
    <cfRule type="expression" dxfId="16006" priority="964">
      <formula>$C32&lt;$E$3</formula>
    </cfRule>
  </conditionalFormatting>
  <conditionalFormatting sqref="H32">
    <cfRule type="expression" dxfId="16005" priority="963">
      <formula>$E32=""</formula>
    </cfRule>
  </conditionalFormatting>
  <conditionalFormatting sqref="H32">
    <cfRule type="expression" dxfId="16004" priority="962">
      <formula>$E32=""</formula>
    </cfRule>
  </conditionalFormatting>
  <conditionalFormatting sqref="H32">
    <cfRule type="expression" dxfId="16003" priority="961">
      <formula>$C32&lt;$E$3</formula>
    </cfRule>
  </conditionalFormatting>
  <conditionalFormatting sqref="H32">
    <cfRule type="expression" dxfId="16002" priority="960">
      <formula>$E32=""</formula>
    </cfRule>
  </conditionalFormatting>
  <conditionalFormatting sqref="H32">
    <cfRule type="expression" dxfId="16001" priority="959">
      <formula>$C32&lt;$E$3</formula>
    </cfRule>
  </conditionalFormatting>
  <conditionalFormatting sqref="H32">
    <cfRule type="expression" dxfId="16000" priority="958">
      <formula>$E32=""</formula>
    </cfRule>
  </conditionalFormatting>
  <conditionalFormatting sqref="H32">
    <cfRule type="expression" dxfId="15999" priority="957">
      <formula>$C32&lt;$E$3</formula>
    </cfRule>
  </conditionalFormatting>
  <conditionalFormatting sqref="H32">
    <cfRule type="expression" dxfId="15998" priority="956">
      <formula>$E32=""</formula>
    </cfRule>
  </conditionalFormatting>
  <conditionalFormatting sqref="H33:H37">
    <cfRule type="cellIs" dxfId="15997" priority="950" stopIfTrue="1" operator="lessThan">
      <formula>0</formula>
    </cfRule>
  </conditionalFormatting>
  <conditionalFormatting sqref="H33:H37">
    <cfRule type="expression" dxfId="15996" priority="954">
      <formula>$C33&lt;$E$3</formula>
    </cfRule>
  </conditionalFormatting>
  <conditionalFormatting sqref="H33:H37">
    <cfRule type="expression" dxfId="15995" priority="951">
      <formula>$C33=$E$3</formula>
    </cfRule>
    <cfRule type="expression" dxfId="15994" priority="952">
      <formula>$C33&lt;$E$3</formula>
    </cfRule>
    <cfRule type="cellIs" dxfId="15993" priority="953" operator="equal">
      <formula>0</formula>
    </cfRule>
    <cfRule type="expression" dxfId="15992" priority="955">
      <formula>$C33&gt;$E$3</formula>
    </cfRule>
  </conditionalFormatting>
  <conditionalFormatting sqref="H33:H37">
    <cfRule type="expression" dxfId="15991" priority="949">
      <formula>$C33&lt;$E$3</formula>
    </cfRule>
  </conditionalFormatting>
  <conditionalFormatting sqref="H33:H37">
    <cfRule type="expression" dxfId="15990" priority="945">
      <formula>$C33=$E$3</formula>
    </cfRule>
    <cfRule type="expression" dxfId="15989" priority="946">
      <formula>$C33&lt;$E$3</formula>
    </cfRule>
    <cfRule type="cellIs" dxfId="15988" priority="947" operator="equal">
      <formula>0</formula>
    </cfRule>
    <cfRule type="expression" dxfId="15987" priority="948">
      <formula>$C33&gt;$E$3</formula>
    </cfRule>
  </conditionalFormatting>
  <conditionalFormatting sqref="H33:H37">
    <cfRule type="expression" dxfId="15986" priority="944">
      <formula>$E33=""</formula>
    </cfRule>
  </conditionalFormatting>
  <conditionalFormatting sqref="H36">
    <cfRule type="expression" dxfId="15985" priority="943">
      <formula>$E36=""</formula>
    </cfRule>
  </conditionalFormatting>
  <conditionalFormatting sqref="H33:H37">
    <cfRule type="expression" dxfId="15984" priority="942">
      <formula>$C33&lt;$E$3</formula>
    </cfRule>
  </conditionalFormatting>
  <conditionalFormatting sqref="H33:H37">
    <cfRule type="expression" dxfId="15983" priority="938">
      <formula>$C33=$E$3</formula>
    </cfRule>
    <cfRule type="expression" dxfId="15982" priority="939">
      <formula>$C33&lt;$E$3</formula>
    </cfRule>
    <cfRule type="cellIs" dxfId="15981" priority="940" operator="equal">
      <formula>0</formula>
    </cfRule>
    <cfRule type="expression" dxfId="15980" priority="941">
      <formula>$C33&gt;$E$3</formula>
    </cfRule>
  </conditionalFormatting>
  <conditionalFormatting sqref="H33:H37">
    <cfRule type="expression" dxfId="15979" priority="937">
      <formula>$C33&lt;$E$3</formula>
    </cfRule>
  </conditionalFormatting>
  <conditionalFormatting sqref="H33:H37">
    <cfRule type="expression" dxfId="15978" priority="933">
      <formula>$C33=$E$3</formula>
    </cfRule>
    <cfRule type="expression" dxfId="15977" priority="934">
      <formula>$C33&lt;$E$3</formula>
    </cfRule>
    <cfRule type="cellIs" dxfId="15976" priority="935" operator="equal">
      <formula>0</formula>
    </cfRule>
    <cfRule type="expression" dxfId="15975" priority="936">
      <formula>$C33&gt;$E$3</formula>
    </cfRule>
  </conditionalFormatting>
  <conditionalFormatting sqref="H33:H37">
    <cfRule type="expression" dxfId="15974" priority="932">
      <formula>$E33=""</formula>
    </cfRule>
  </conditionalFormatting>
  <conditionalFormatting sqref="H33:H37">
    <cfRule type="expression" dxfId="15973" priority="931">
      <formula>$C33&lt;$E$3</formula>
    </cfRule>
  </conditionalFormatting>
  <conditionalFormatting sqref="H33:H37">
    <cfRule type="expression" dxfId="15972" priority="930">
      <formula>$E33=""</formula>
    </cfRule>
  </conditionalFormatting>
  <conditionalFormatting sqref="H33:H37">
    <cfRule type="expression" dxfId="15971" priority="929">
      <formula>$E33=""</formula>
    </cfRule>
  </conditionalFormatting>
  <conditionalFormatting sqref="H33:H37">
    <cfRule type="expression" dxfId="15970" priority="928">
      <formula>$C33&lt;$E$3</formula>
    </cfRule>
  </conditionalFormatting>
  <conditionalFormatting sqref="H33:H37">
    <cfRule type="expression" dxfId="15969" priority="927">
      <formula>$E33=""</formula>
    </cfRule>
  </conditionalFormatting>
  <conditionalFormatting sqref="H33:H37">
    <cfRule type="expression" dxfId="15968" priority="926">
      <formula>$C33&lt;$E$3</formula>
    </cfRule>
  </conditionalFormatting>
  <conditionalFormatting sqref="H33:H37">
    <cfRule type="expression" dxfId="15967" priority="925">
      <formula>$E33=""</formula>
    </cfRule>
  </conditionalFormatting>
  <conditionalFormatting sqref="H33:H37">
    <cfRule type="expression" dxfId="15966" priority="924">
      <formula>$C33&lt;$E$3</formula>
    </cfRule>
  </conditionalFormatting>
  <conditionalFormatting sqref="H33:H37">
    <cfRule type="expression" dxfId="15965" priority="923">
      <formula>$E33=""</formula>
    </cfRule>
  </conditionalFormatting>
  <conditionalFormatting sqref="K5:K11 K50:K51">
    <cfRule type="cellIs" dxfId="15964" priority="922" stopIfTrue="1" operator="lessThan">
      <formula>0</formula>
    </cfRule>
  </conditionalFormatting>
  <conditionalFormatting sqref="K5:K11 K50:K51">
    <cfRule type="expression" dxfId="15963" priority="920">
      <formula>$C5&lt;$E$3</formula>
    </cfRule>
  </conditionalFormatting>
  <conditionalFormatting sqref="K5:K11 K50:K51">
    <cfRule type="expression" dxfId="15962" priority="917">
      <formula>$C5=$E$3</formula>
    </cfRule>
    <cfRule type="expression" dxfId="15961" priority="918">
      <formula>$C5&lt;$E$3</formula>
    </cfRule>
    <cfRule type="cellIs" dxfId="15960" priority="919" operator="equal">
      <formula>0</formula>
    </cfRule>
    <cfRule type="expression" dxfId="15959" priority="921">
      <formula>$C5&gt;$E$3</formula>
    </cfRule>
  </conditionalFormatting>
  <conditionalFormatting sqref="K5:K11 K50:K51">
    <cfRule type="expression" dxfId="15958" priority="916">
      <formula>$E5=""</formula>
    </cfRule>
  </conditionalFormatting>
  <conditionalFormatting sqref="K5:K11 K50:K51">
    <cfRule type="expression" dxfId="15957" priority="915">
      <formula>$E5=""</formula>
    </cfRule>
  </conditionalFormatting>
  <conditionalFormatting sqref="K5:K11 K50:K51">
    <cfRule type="expression" dxfId="15956" priority="914">
      <formula>$E5=""</formula>
    </cfRule>
  </conditionalFormatting>
  <conditionalFormatting sqref="J5:J11 J50:J51 L5:M11 L50:N51">
    <cfRule type="cellIs" dxfId="15955" priority="913" stopIfTrue="1" operator="lessThan">
      <formula>0</formula>
    </cfRule>
  </conditionalFormatting>
  <conditionalFormatting sqref="J5:J11 J50:J51 L5:M11 L50:M51">
    <cfRule type="expression" dxfId="15954" priority="911">
      <formula>$C5&lt;$E$3</formula>
    </cfRule>
  </conditionalFormatting>
  <conditionalFormatting sqref="J5:J11 J50:J51 L5:M11 L50:M51">
    <cfRule type="expression" dxfId="15953" priority="908">
      <formula>$C5=$E$3</formula>
    </cfRule>
    <cfRule type="expression" dxfId="15952" priority="909">
      <formula>$C5&lt;$E$3</formula>
    </cfRule>
    <cfRule type="cellIs" dxfId="15951" priority="910" operator="equal">
      <formula>0</formula>
    </cfRule>
    <cfRule type="expression" dxfId="15950" priority="912">
      <formula>$C5&gt;$E$3</formula>
    </cfRule>
  </conditionalFormatting>
  <conditionalFormatting sqref="J5:J11 J50:J51 L5:M11 L50:M51">
    <cfRule type="expression" dxfId="15949" priority="907">
      <formula>$E5=""</formula>
    </cfRule>
  </conditionalFormatting>
  <conditionalFormatting sqref="J5:J11 J50:J51 L5:M11 L50:M51">
    <cfRule type="expression" dxfId="15948" priority="906">
      <formula>$E5=""</formula>
    </cfRule>
  </conditionalFormatting>
  <conditionalFormatting sqref="J5:J11 J50:J51 L5:M11 L50:M51">
    <cfRule type="expression" dxfId="15947" priority="905">
      <formula>$E5=""</formula>
    </cfRule>
  </conditionalFormatting>
  <conditionalFormatting sqref="M5:M11 M50:M51">
    <cfRule type="expression" dxfId="15946" priority="904">
      <formula>$C5&lt;$E$3</formula>
    </cfRule>
  </conditionalFormatting>
  <conditionalFormatting sqref="M5:M11 M50:M51">
    <cfRule type="expression" dxfId="15945" priority="900">
      <formula>$C5=$E$3</formula>
    </cfRule>
    <cfRule type="expression" dxfId="15944" priority="901">
      <formula>$C5&lt;$E$3</formula>
    </cfRule>
    <cfRule type="cellIs" dxfId="15943" priority="902" operator="equal">
      <formula>0</formula>
    </cfRule>
    <cfRule type="expression" dxfId="15942" priority="903">
      <formula>$C5&gt;$E$3</formula>
    </cfRule>
  </conditionalFormatting>
  <conditionalFormatting sqref="M5:M11 M50:M51">
    <cfRule type="expression" dxfId="15941" priority="899">
      <formula>$C5&lt;$E$3</formula>
    </cfRule>
  </conditionalFormatting>
  <conditionalFormatting sqref="M5:M11 M50:M51">
    <cfRule type="expression" dxfId="15940" priority="895">
      <formula>$C5=$E$3</formula>
    </cfRule>
    <cfRule type="expression" dxfId="15939" priority="896">
      <formula>$C5&lt;$E$3</formula>
    </cfRule>
    <cfRule type="cellIs" dxfId="15938" priority="897" operator="equal">
      <formula>0</formula>
    </cfRule>
    <cfRule type="expression" dxfId="15937" priority="898">
      <formula>$C5&gt;$E$3</formula>
    </cfRule>
  </conditionalFormatting>
  <conditionalFormatting sqref="M5:M11 M50:M51">
    <cfRule type="expression" dxfId="15936" priority="894">
      <formula>$C5&lt;$E$3</formula>
    </cfRule>
  </conditionalFormatting>
  <conditionalFormatting sqref="M5:M11 M50:M51">
    <cfRule type="expression" dxfId="15935" priority="890">
      <formula>$C5=$E$3</formula>
    </cfRule>
    <cfRule type="expression" dxfId="15934" priority="891">
      <formula>$C5&lt;$E$3</formula>
    </cfRule>
    <cfRule type="cellIs" dxfId="15933" priority="892" operator="equal">
      <formula>0</formula>
    </cfRule>
    <cfRule type="expression" dxfId="15932" priority="893">
      <formula>$C5&gt;$E$3</formula>
    </cfRule>
  </conditionalFormatting>
  <conditionalFormatting sqref="M5:M11 M50:M51">
    <cfRule type="expression" dxfId="15931" priority="889">
      <formula>$C5&lt;$E$3</formula>
    </cfRule>
  </conditionalFormatting>
  <conditionalFormatting sqref="M5:M11 M50:M51">
    <cfRule type="expression" dxfId="15930" priority="885">
      <formula>$C5=$E$3</formula>
    </cfRule>
    <cfRule type="expression" dxfId="15929" priority="886">
      <formula>$C5&lt;$E$3</formula>
    </cfRule>
    <cfRule type="cellIs" dxfId="15928" priority="887" operator="equal">
      <formula>0</formula>
    </cfRule>
    <cfRule type="expression" dxfId="15927" priority="888">
      <formula>$C5&gt;$E$3</formula>
    </cfRule>
  </conditionalFormatting>
  <conditionalFormatting sqref="M5:M11 M50:M51">
    <cfRule type="expression" dxfId="15926" priority="884">
      <formula>$E5=""</formula>
    </cfRule>
  </conditionalFormatting>
  <conditionalFormatting sqref="M5:M11 M50:M51">
    <cfRule type="expression" dxfId="15925" priority="883">
      <formula>$C5&lt;$E$3</formula>
    </cfRule>
  </conditionalFormatting>
  <conditionalFormatting sqref="M5:M11 M50:M51">
    <cfRule type="expression" dxfId="15924" priority="881">
      <formula>$E5=""</formula>
    </cfRule>
  </conditionalFormatting>
  <conditionalFormatting sqref="M5:M11 M50:M51">
    <cfRule type="expression" dxfId="15923" priority="879">
      <formula>$E5=""</formula>
    </cfRule>
  </conditionalFormatting>
  <conditionalFormatting sqref="M5:M11 M50:M51">
    <cfRule type="expression" dxfId="15922" priority="878">
      <formula>$C5&lt;$E$3</formula>
    </cfRule>
  </conditionalFormatting>
  <conditionalFormatting sqref="M5:M11 M50:M51">
    <cfRule type="expression" dxfId="15921" priority="877">
      <formula>$E5=""</formula>
    </cfRule>
  </conditionalFormatting>
  <conditionalFormatting sqref="M5:M11 M50:M51">
    <cfRule type="expression" dxfId="15920" priority="876">
      <formula>$C5&lt;$E$3</formula>
    </cfRule>
  </conditionalFormatting>
  <conditionalFormatting sqref="M5:M11 M50:M51">
    <cfRule type="expression" dxfId="15919" priority="875">
      <formula>$E5=""</formula>
    </cfRule>
  </conditionalFormatting>
  <conditionalFormatting sqref="M5:M11 M50:M51">
    <cfRule type="expression" dxfId="15918" priority="874">
      <formula>$C5&lt;$E$3</formula>
    </cfRule>
  </conditionalFormatting>
  <conditionalFormatting sqref="M5:M11 M50:M51">
    <cfRule type="expression" dxfId="15917" priority="870">
      <formula>$C5=$E$3</formula>
    </cfRule>
    <cfRule type="expression" dxfId="15916" priority="871">
      <formula>$C5&lt;$E$3</formula>
    </cfRule>
    <cfRule type="cellIs" dxfId="15915" priority="872" operator="equal">
      <formula>0</formula>
    </cfRule>
    <cfRule type="expression" dxfId="15914" priority="873">
      <formula>$C5&gt;$E$3</formula>
    </cfRule>
  </conditionalFormatting>
  <conditionalFormatting sqref="M5:M11 M50:M51">
    <cfRule type="expression" dxfId="15913" priority="869">
      <formula>$C5&lt;$E$3</formula>
    </cfRule>
  </conditionalFormatting>
  <conditionalFormatting sqref="M5:M11 M50:M51">
    <cfRule type="expression" dxfId="15912" priority="865">
      <formula>$C5=$E$3</formula>
    </cfRule>
    <cfRule type="expression" dxfId="15911" priority="866">
      <formula>$C5&lt;$E$3</formula>
    </cfRule>
    <cfRule type="cellIs" dxfId="15910" priority="867" operator="equal">
      <formula>0</formula>
    </cfRule>
    <cfRule type="expression" dxfId="15909" priority="868">
      <formula>$C5&gt;$E$3</formula>
    </cfRule>
  </conditionalFormatting>
  <conditionalFormatting sqref="M5:M11 M50:M51">
    <cfRule type="expression" dxfId="15908" priority="864">
      <formula>$C5&lt;$E$3</formula>
    </cfRule>
  </conditionalFormatting>
  <conditionalFormatting sqref="M5:M11 M50:M51">
    <cfRule type="expression" dxfId="15907" priority="860">
      <formula>$C5=$E$3</formula>
    </cfRule>
    <cfRule type="expression" dxfId="15906" priority="861">
      <formula>$C5&lt;$E$3</formula>
    </cfRule>
    <cfRule type="cellIs" dxfId="15905" priority="862" operator="equal">
      <formula>0</formula>
    </cfRule>
    <cfRule type="expression" dxfId="15904" priority="863">
      <formula>$C5&gt;$E$3</formula>
    </cfRule>
  </conditionalFormatting>
  <conditionalFormatting sqref="M5:M11 M50:M51">
    <cfRule type="expression" dxfId="15903" priority="855">
      <formula>$C5=$E$3</formula>
    </cfRule>
    <cfRule type="expression" dxfId="15902" priority="856">
      <formula>$C5&lt;$E$3</formula>
    </cfRule>
    <cfRule type="cellIs" dxfId="15901" priority="857" operator="equal">
      <formula>0</formula>
    </cfRule>
    <cfRule type="expression" dxfId="15900" priority="858">
      <formula>$C5&gt;$E$3</formula>
    </cfRule>
  </conditionalFormatting>
  <conditionalFormatting sqref="M5:M11 M50:M51">
    <cfRule type="expression" dxfId="15899" priority="854">
      <formula>$E5=""</formula>
    </cfRule>
  </conditionalFormatting>
  <conditionalFormatting sqref="M5:M11 M50:M51">
    <cfRule type="expression" dxfId="15898" priority="853">
      <formula>$C5&lt;$E$3</formula>
    </cfRule>
  </conditionalFormatting>
  <conditionalFormatting sqref="M5:M11 M50:M51">
    <cfRule type="expression" dxfId="15897" priority="852">
      <formula>$E5=""</formula>
    </cfRule>
  </conditionalFormatting>
  <conditionalFormatting sqref="M5:M11 M50:M51">
    <cfRule type="expression" dxfId="15896" priority="851">
      <formula>$E5=""</formula>
    </cfRule>
  </conditionalFormatting>
  <conditionalFormatting sqref="M5:M11 M50:M51">
    <cfRule type="expression" dxfId="15895" priority="849">
      <formula>$E5=""</formula>
    </cfRule>
  </conditionalFormatting>
  <conditionalFormatting sqref="M5:M11 M50:M51">
    <cfRule type="expression" dxfId="15894" priority="848">
      <formula>$C5&lt;$E$3</formula>
    </cfRule>
  </conditionalFormatting>
  <conditionalFormatting sqref="M5:M11 M50:M51">
    <cfRule type="expression" dxfId="15893" priority="847">
      <formula>$E5=""</formula>
    </cfRule>
  </conditionalFormatting>
  <conditionalFormatting sqref="M5:M11 M50:M51">
    <cfRule type="expression" dxfId="15892" priority="846">
      <formula>$C5&lt;$E$3</formula>
    </cfRule>
  </conditionalFormatting>
  <conditionalFormatting sqref="M5:M11 M50:M51">
    <cfRule type="expression" dxfId="15891" priority="845">
      <formula>$E5=""</formula>
    </cfRule>
  </conditionalFormatting>
  <conditionalFormatting sqref="K10">
    <cfRule type="expression" dxfId="15890" priority="844">
      <formula>$C10&lt;$E$3</formula>
    </cfRule>
  </conditionalFormatting>
  <conditionalFormatting sqref="K10">
    <cfRule type="expression" dxfId="15889" priority="840">
      <formula>$C10=$E$3</formula>
    </cfRule>
    <cfRule type="expression" dxfId="15888" priority="841">
      <formula>$C10&lt;$E$3</formula>
    </cfRule>
    <cfRule type="cellIs" dxfId="15887" priority="842" operator="equal">
      <formula>0</formula>
    </cfRule>
    <cfRule type="expression" dxfId="15886" priority="843">
      <formula>$C10&gt;$E$3</formula>
    </cfRule>
  </conditionalFormatting>
  <conditionalFormatting sqref="K10">
    <cfRule type="expression" dxfId="15885" priority="839">
      <formula>$C10&lt;$E$3</formula>
    </cfRule>
  </conditionalFormatting>
  <conditionalFormatting sqref="K10">
    <cfRule type="expression" dxfId="15884" priority="835">
      <formula>$C10=$E$3</formula>
    </cfRule>
    <cfRule type="expression" dxfId="15883" priority="836">
      <formula>$C10&lt;$E$3</formula>
    </cfRule>
    <cfRule type="cellIs" dxfId="15882" priority="837" operator="equal">
      <formula>0</formula>
    </cfRule>
    <cfRule type="expression" dxfId="15881" priority="838">
      <formula>$C10&gt;$E$3</formula>
    </cfRule>
  </conditionalFormatting>
  <conditionalFormatting sqref="K10">
    <cfRule type="expression" dxfId="15880" priority="834">
      <formula>$C10&lt;$E$3</formula>
    </cfRule>
  </conditionalFormatting>
  <conditionalFormatting sqref="K10">
    <cfRule type="expression" dxfId="15879" priority="830">
      <formula>$C10=$E$3</formula>
    </cfRule>
    <cfRule type="expression" dxfId="15878" priority="831">
      <formula>$C10&lt;$E$3</formula>
    </cfRule>
    <cfRule type="cellIs" dxfId="15877" priority="832" operator="equal">
      <formula>0</formula>
    </cfRule>
    <cfRule type="expression" dxfId="15876" priority="833">
      <formula>$C10&gt;$E$3</formula>
    </cfRule>
  </conditionalFormatting>
  <conditionalFormatting sqref="K10">
    <cfRule type="expression" dxfId="15875" priority="825">
      <formula>$C10=$E$3</formula>
    </cfRule>
    <cfRule type="expression" dxfId="15874" priority="826">
      <formula>$C10&lt;$E$3</formula>
    </cfRule>
    <cfRule type="cellIs" dxfId="15873" priority="827" operator="equal">
      <formula>0</formula>
    </cfRule>
    <cfRule type="expression" dxfId="15872" priority="828">
      <formula>$C10&gt;$E$3</formula>
    </cfRule>
  </conditionalFormatting>
  <conditionalFormatting sqref="K10">
    <cfRule type="expression" dxfId="15871" priority="824">
      <formula>$E10=""</formula>
    </cfRule>
  </conditionalFormatting>
  <conditionalFormatting sqref="K10">
    <cfRule type="expression" dxfId="15870" priority="823">
      <formula>$C10&lt;$E$3</formula>
    </cfRule>
  </conditionalFormatting>
  <conditionalFormatting sqref="K10">
    <cfRule type="expression" dxfId="15869" priority="822">
      <formula>$E10=""</formula>
    </cfRule>
  </conditionalFormatting>
  <conditionalFormatting sqref="K10">
    <cfRule type="expression" dxfId="15868" priority="821">
      <formula>$E10=""</formula>
    </cfRule>
  </conditionalFormatting>
  <conditionalFormatting sqref="K10">
    <cfRule type="expression" dxfId="15867" priority="820">
      <formula>$C10&lt;$E$3</formula>
    </cfRule>
  </conditionalFormatting>
  <conditionalFormatting sqref="K10">
    <cfRule type="expression" dxfId="15866" priority="819">
      <formula>$E10=""</formula>
    </cfRule>
  </conditionalFormatting>
  <conditionalFormatting sqref="K10">
    <cfRule type="expression" dxfId="15865" priority="818">
      <formula>$C10&lt;$E$3</formula>
    </cfRule>
  </conditionalFormatting>
  <conditionalFormatting sqref="K10">
    <cfRule type="expression" dxfId="15864" priority="817">
      <formula>$E10=""</formula>
    </cfRule>
  </conditionalFormatting>
  <conditionalFormatting sqref="K10">
    <cfRule type="expression" dxfId="15863" priority="816">
      <formula>$C10&lt;$E$3</formula>
    </cfRule>
  </conditionalFormatting>
  <conditionalFormatting sqref="K10">
    <cfRule type="expression" dxfId="15862" priority="815">
      <formula>$E10=""</formula>
    </cfRule>
  </conditionalFormatting>
  <conditionalFormatting sqref="K10">
    <cfRule type="expression" dxfId="15861" priority="814">
      <formula>$C10&lt;$E$3</formula>
    </cfRule>
  </conditionalFormatting>
  <conditionalFormatting sqref="K10">
    <cfRule type="expression" dxfId="15860" priority="810">
      <formula>$C10=$E$3</formula>
    </cfRule>
    <cfRule type="expression" dxfId="15859" priority="811">
      <formula>$C10&lt;$E$3</formula>
    </cfRule>
    <cfRule type="cellIs" dxfId="15858" priority="812" operator="equal">
      <formula>0</formula>
    </cfRule>
    <cfRule type="expression" dxfId="15857" priority="813">
      <formula>$C10&gt;$E$3</formula>
    </cfRule>
  </conditionalFormatting>
  <conditionalFormatting sqref="K10">
    <cfRule type="expression" dxfId="15856" priority="809">
      <formula>$C10&lt;$E$3</formula>
    </cfRule>
  </conditionalFormatting>
  <conditionalFormatting sqref="K10">
    <cfRule type="expression" dxfId="15855" priority="805">
      <formula>$C10=$E$3</formula>
    </cfRule>
    <cfRule type="expression" dxfId="15854" priority="806">
      <formula>$C10&lt;$E$3</formula>
    </cfRule>
    <cfRule type="cellIs" dxfId="15853" priority="807" operator="equal">
      <formula>0</formula>
    </cfRule>
    <cfRule type="expression" dxfId="15852" priority="808">
      <formula>$C10&gt;$E$3</formula>
    </cfRule>
  </conditionalFormatting>
  <conditionalFormatting sqref="K10">
    <cfRule type="expression" dxfId="15851" priority="804">
      <formula>$C10&lt;$E$3</formula>
    </cfRule>
  </conditionalFormatting>
  <conditionalFormatting sqref="K10">
    <cfRule type="expression" dxfId="15850" priority="800">
      <formula>$C10=$E$3</formula>
    </cfRule>
    <cfRule type="expression" dxfId="15849" priority="801">
      <formula>$C10&lt;$E$3</formula>
    </cfRule>
    <cfRule type="cellIs" dxfId="15848" priority="802" operator="equal">
      <formula>0</formula>
    </cfRule>
    <cfRule type="expression" dxfId="15847" priority="803">
      <formula>$C10&gt;$E$3</formula>
    </cfRule>
  </conditionalFormatting>
  <conditionalFormatting sqref="K10">
    <cfRule type="expression" dxfId="15846" priority="799">
      <formula>$C10&lt;$E$3</formula>
    </cfRule>
  </conditionalFormatting>
  <conditionalFormatting sqref="K10">
    <cfRule type="expression" dxfId="15845" priority="795">
      <formula>$C10=$E$3</formula>
    </cfRule>
    <cfRule type="expression" dxfId="15844" priority="796">
      <formula>$C10&lt;$E$3</formula>
    </cfRule>
    <cfRule type="cellIs" dxfId="15843" priority="797" operator="equal">
      <formula>0</formula>
    </cfRule>
    <cfRule type="expression" dxfId="15842" priority="798">
      <formula>$C10&gt;$E$3</formula>
    </cfRule>
  </conditionalFormatting>
  <conditionalFormatting sqref="K10">
    <cfRule type="expression" dxfId="15841" priority="794">
      <formula>$E10=""</formula>
    </cfRule>
  </conditionalFormatting>
  <conditionalFormatting sqref="K10">
    <cfRule type="expression" dxfId="15840" priority="793">
      <formula>$C10&lt;$E$3</formula>
    </cfRule>
  </conditionalFormatting>
  <conditionalFormatting sqref="K10">
    <cfRule type="expression" dxfId="15839" priority="792">
      <formula>$E10=""</formula>
    </cfRule>
  </conditionalFormatting>
  <conditionalFormatting sqref="K10">
    <cfRule type="expression" dxfId="15838" priority="791">
      <formula>$E10=""</formula>
    </cfRule>
  </conditionalFormatting>
  <conditionalFormatting sqref="K10">
    <cfRule type="expression" dxfId="15837" priority="790">
      <formula>$C10&lt;$E$3</formula>
    </cfRule>
  </conditionalFormatting>
  <conditionalFormatting sqref="K10">
    <cfRule type="expression" dxfId="15836" priority="789">
      <formula>$E10=""</formula>
    </cfRule>
  </conditionalFormatting>
  <conditionalFormatting sqref="K10">
    <cfRule type="expression" dxfId="15835" priority="788">
      <formula>$C10&lt;$E$3</formula>
    </cfRule>
  </conditionalFormatting>
  <conditionalFormatting sqref="K10">
    <cfRule type="expression" dxfId="15834" priority="787">
      <formula>$E10=""</formula>
    </cfRule>
  </conditionalFormatting>
  <conditionalFormatting sqref="K10">
    <cfRule type="expression" dxfId="15833" priority="785">
      <formula>$E10=""</formula>
    </cfRule>
  </conditionalFormatting>
  <conditionalFormatting sqref="K5:K9">
    <cfRule type="expression" dxfId="15832" priority="780">
      <formula>$C5=$E$3</formula>
    </cfRule>
    <cfRule type="expression" dxfId="15831" priority="781">
      <formula>$C5&lt;$E$3</formula>
    </cfRule>
    <cfRule type="cellIs" dxfId="15830" priority="782" operator="equal">
      <formula>0</formula>
    </cfRule>
    <cfRule type="expression" dxfId="15829" priority="783">
      <formula>$C5&gt;$E$3</formula>
    </cfRule>
  </conditionalFormatting>
  <conditionalFormatting sqref="K5:K9">
    <cfRule type="expression" dxfId="15828" priority="779">
      <formula>$C5&lt;$E$3</formula>
    </cfRule>
  </conditionalFormatting>
  <conditionalFormatting sqref="K5:K9">
    <cfRule type="expression" dxfId="15827" priority="775">
      <formula>$C5=$E$3</formula>
    </cfRule>
    <cfRule type="expression" dxfId="15826" priority="776">
      <formula>$C5&lt;$E$3</formula>
    </cfRule>
    <cfRule type="cellIs" dxfId="15825" priority="777" operator="equal">
      <formula>0</formula>
    </cfRule>
    <cfRule type="expression" dxfId="15824" priority="778">
      <formula>$C5&gt;$E$3</formula>
    </cfRule>
  </conditionalFormatting>
  <conditionalFormatting sqref="K5:K9">
    <cfRule type="expression" dxfId="15823" priority="774">
      <formula>$C5&lt;$E$3</formula>
    </cfRule>
  </conditionalFormatting>
  <conditionalFormatting sqref="K5:K9">
    <cfRule type="expression" dxfId="15822" priority="770">
      <formula>$C5=$E$3</formula>
    </cfRule>
    <cfRule type="expression" dxfId="15821" priority="771">
      <formula>$C5&lt;$E$3</formula>
    </cfRule>
    <cfRule type="cellIs" dxfId="15820" priority="772" operator="equal">
      <formula>0</formula>
    </cfRule>
    <cfRule type="expression" dxfId="15819" priority="773">
      <formula>$C5&gt;$E$3</formula>
    </cfRule>
  </conditionalFormatting>
  <conditionalFormatting sqref="K5:K9">
    <cfRule type="expression" dxfId="15818" priority="769">
      <formula>$C5&lt;$E$3</formula>
    </cfRule>
  </conditionalFormatting>
  <conditionalFormatting sqref="K5:K9">
    <cfRule type="expression" dxfId="15817" priority="765">
      <formula>$C5=$E$3</formula>
    </cfRule>
    <cfRule type="expression" dxfId="15816" priority="766">
      <formula>$C5&lt;$E$3</formula>
    </cfRule>
    <cfRule type="cellIs" dxfId="15815" priority="767" operator="equal">
      <formula>0</formula>
    </cfRule>
    <cfRule type="expression" dxfId="15814" priority="768">
      <formula>$C5&gt;$E$3</formula>
    </cfRule>
  </conditionalFormatting>
  <conditionalFormatting sqref="K5:K9">
    <cfRule type="expression" dxfId="15813" priority="764">
      <formula>$E5=""</formula>
    </cfRule>
  </conditionalFormatting>
  <conditionalFormatting sqref="K5:K9">
    <cfRule type="expression" dxfId="15812" priority="763">
      <formula>$C5&lt;$E$3</formula>
    </cfRule>
  </conditionalFormatting>
  <conditionalFormatting sqref="K5:K9">
    <cfRule type="expression" dxfId="15811" priority="762">
      <formula>$E5=""</formula>
    </cfRule>
  </conditionalFormatting>
  <conditionalFormatting sqref="K5:K9">
    <cfRule type="expression" dxfId="15810" priority="761">
      <formula>$E5=""</formula>
    </cfRule>
  </conditionalFormatting>
  <conditionalFormatting sqref="K5:K9">
    <cfRule type="expression" dxfId="15809" priority="760">
      <formula>$C5&lt;$E$3</formula>
    </cfRule>
  </conditionalFormatting>
  <conditionalFormatting sqref="K5:K9">
    <cfRule type="expression" dxfId="15808" priority="759">
      <formula>$E5=""</formula>
    </cfRule>
  </conditionalFormatting>
  <conditionalFormatting sqref="K5:K9">
    <cfRule type="expression" dxfId="15807" priority="758">
      <formula>$C5&lt;$E$3</formula>
    </cfRule>
  </conditionalFormatting>
  <conditionalFormatting sqref="K5:K9">
    <cfRule type="expression" dxfId="15806" priority="757">
      <formula>$E5=""</formula>
    </cfRule>
  </conditionalFormatting>
  <conditionalFormatting sqref="K5:K9">
    <cfRule type="expression" dxfId="15805" priority="755">
      <formula>$E5=""</formula>
    </cfRule>
  </conditionalFormatting>
  <conditionalFormatting sqref="K5:K9">
    <cfRule type="expression" dxfId="15804" priority="750">
      <formula>$C5=$E$3</formula>
    </cfRule>
    <cfRule type="expression" dxfId="15803" priority="751">
      <formula>$C5&lt;$E$3</formula>
    </cfRule>
    <cfRule type="cellIs" dxfId="15802" priority="752" operator="equal">
      <formula>0</formula>
    </cfRule>
    <cfRule type="expression" dxfId="15801" priority="753">
      <formula>$C5&gt;$E$3</formula>
    </cfRule>
  </conditionalFormatting>
  <conditionalFormatting sqref="K5:K9">
    <cfRule type="expression" dxfId="15800" priority="749">
      <formula>$C5&lt;$E$3</formula>
    </cfRule>
  </conditionalFormatting>
  <conditionalFormatting sqref="K5:K9">
    <cfRule type="expression" dxfId="15799" priority="745">
      <formula>$C5=$E$3</formula>
    </cfRule>
    <cfRule type="expression" dxfId="15798" priority="746">
      <formula>$C5&lt;$E$3</formula>
    </cfRule>
    <cfRule type="cellIs" dxfId="15797" priority="747" operator="equal">
      <formula>0</formula>
    </cfRule>
    <cfRule type="expression" dxfId="15796" priority="748">
      <formula>$C5&gt;$E$3</formula>
    </cfRule>
  </conditionalFormatting>
  <conditionalFormatting sqref="K5:K9">
    <cfRule type="expression" dxfId="15795" priority="744">
      <formula>$C5&lt;$E$3</formula>
    </cfRule>
  </conditionalFormatting>
  <conditionalFormatting sqref="K5:K9">
    <cfRule type="expression" dxfId="15794" priority="740">
      <formula>$C5=$E$3</formula>
    </cfRule>
    <cfRule type="expression" dxfId="15793" priority="741">
      <formula>$C5&lt;$E$3</formula>
    </cfRule>
    <cfRule type="cellIs" dxfId="15792" priority="742" operator="equal">
      <formula>0</formula>
    </cfRule>
    <cfRule type="expression" dxfId="15791" priority="743">
      <formula>$C5&gt;$E$3</formula>
    </cfRule>
  </conditionalFormatting>
  <conditionalFormatting sqref="K5:K9">
    <cfRule type="expression" dxfId="15790" priority="739">
      <formula>$C5&lt;$E$3</formula>
    </cfRule>
  </conditionalFormatting>
  <conditionalFormatting sqref="K5:K9">
    <cfRule type="expression" dxfId="15789" priority="735">
      <formula>$C5=$E$3</formula>
    </cfRule>
    <cfRule type="expression" dxfId="15788" priority="736">
      <formula>$C5&lt;$E$3</formula>
    </cfRule>
    <cfRule type="cellIs" dxfId="15787" priority="737" operator="equal">
      <formula>0</formula>
    </cfRule>
    <cfRule type="expression" dxfId="15786" priority="738">
      <formula>$C5&gt;$E$3</formula>
    </cfRule>
  </conditionalFormatting>
  <conditionalFormatting sqref="K5:K9">
    <cfRule type="expression" dxfId="15785" priority="734">
      <formula>$E5=""</formula>
    </cfRule>
  </conditionalFormatting>
  <conditionalFormatting sqref="K5:K9">
    <cfRule type="expression" dxfId="15784" priority="733">
      <formula>$C5&lt;$E$3</formula>
    </cfRule>
  </conditionalFormatting>
  <conditionalFormatting sqref="K5:K9">
    <cfRule type="expression" dxfId="15783" priority="732">
      <formula>$E5=""</formula>
    </cfRule>
  </conditionalFormatting>
  <conditionalFormatting sqref="K5:K9">
    <cfRule type="expression" dxfId="15782" priority="731">
      <formula>$E5=""</formula>
    </cfRule>
  </conditionalFormatting>
  <conditionalFormatting sqref="K5:K9">
    <cfRule type="expression" dxfId="15781" priority="730">
      <formula>$C5&lt;$E$3</formula>
    </cfRule>
  </conditionalFormatting>
  <conditionalFormatting sqref="K5:K9">
    <cfRule type="expression" dxfId="15780" priority="729">
      <formula>$E5=""</formula>
    </cfRule>
  </conditionalFormatting>
  <conditionalFormatting sqref="K5:K9">
    <cfRule type="expression" dxfId="15779" priority="728">
      <formula>$C5&lt;$E$3</formula>
    </cfRule>
  </conditionalFormatting>
  <conditionalFormatting sqref="K5:K9">
    <cfRule type="expression" dxfId="15778" priority="727">
      <formula>$E5=""</formula>
    </cfRule>
  </conditionalFormatting>
  <conditionalFormatting sqref="K5:K9">
    <cfRule type="expression" dxfId="15777" priority="725">
      <formula>$E5=""</formula>
    </cfRule>
  </conditionalFormatting>
  <conditionalFormatting sqref="K5:K11">
    <cfRule type="expression" dxfId="15776" priority="723">
      <formula>$C5&lt;$E$3</formula>
    </cfRule>
  </conditionalFormatting>
  <conditionalFormatting sqref="K5:K11">
    <cfRule type="expression" dxfId="15775" priority="720">
      <formula>$C5=$E$3</formula>
    </cfRule>
    <cfRule type="expression" dxfId="15774" priority="721">
      <formula>$C5&lt;$E$3</formula>
    </cfRule>
    <cfRule type="cellIs" dxfId="15773" priority="722" operator="equal">
      <formula>0</formula>
    </cfRule>
    <cfRule type="expression" dxfId="15772" priority="724">
      <formula>$C5&gt;$E$3</formula>
    </cfRule>
  </conditionalFormatting>
  <conditionalFormatting sqref="K5:K11">
    <cfRule type="expression" dxfId="15771" priority="719">
      <formula>$E5=""</formula>
    </cfRule>
  </conditionalFormatting>
  <conditionalFormatting sqref="K5:K11">
    <cfRule type="expression" dxfId="15770" priority="718">
      <formula>$E5=""</formula>
    </cfRule>
  </conditionalFormatting>
  <conditionalFormatting sqref="K5:K11">
    <cfRule type="expression" dxfId="15769" priority="717">
      <formula>$E5=""</formula>
    </cfRule>
  </conditionalFormatting>
  <conditionalFormatting sqref="K50:K51">
    <cfRule type="expression" dxfId="15768" priority="712">
      <formula>$C50=$E$3</formula>
    </cfRule>
    <cfRule type="expression" dxfId="15767" priority="713">
      <formula>$C50&lt;$E$3</formula>
    </cfRule>
    <cfRule type="cellIs" dxfId="15766" priority="714" operator="equal">
      <formula>0</formula>
    </cfRule>
    <cfRule type="expression" dxfId="15765" priority="716">
      <formula>$C50&gt;$E$3</formula>
    </cfRule>
  </conditionalFormatting>
  <conditionalFormatting sqref="K50:K51">
    <cfRule type="expression" dxfId="15764" priority="711">
      <formula>$E50=""</formula>
    </cfRule>
  </conditionalFormatting>
  <conditionalFormatting sqref="K50:K51">
    <cfRule type="expression" dxfId="15763" priority="710">
      <formula>$E50=""</formula>
    </cfRule>
  </conditionalFormatting>
  <conditionalFormatting sqref="K50:K51">
    <cfRule type="expression" dxfId="15762" priority="709">
      <formula>$E50=""</formula>
    </cfRule>
  </conditionalFormatting>
  <conditionalFormatting sqref="K50:K51">
    <cfRule type="cellIs" dxfId="15761" priority="708" stopIfTrue="1" operator="lessThan">
      <formula>0</formula>
    </cfRule>
  </conditionalFormatting>
  <conditionalFormatting sqref="K50:K51">
    <cfRule type="expression" dxfId="15760" priority="706">
      <formula>$C50&lt;$E$3</formula>
    </cfRule>
  </conditionalFormatting>
  <conditionalFormatting sqref="K50:K51">
    <cfRule type="expression" dxfId="15759" priority="703">
      <formula>$C50=$E$3</formula>
    </cfRule>
    <cfRule type="expression" dxfId="15758" priority="704">
      <formula>$C50&lt;$E$3</formula>
    </cfRule>
    <cfRule type="cellIs" dxfId="15757" priority="705" operator="equal">
      <formula>0</formula>
    </cfRule>
    <cfRule type="expression" dxfId="15756" priority="707">
      <formula>$C50&gt;$E$3</formula>
    </cfRule>
  </conditionalFormatting>
  <conditionalFormatting sqref="K50:K51">
    <cfRule type="expression" dxfId="15755" priority="702">
      <formula>$E50=""</formula>
    </cfRule>
  </conditionalFormatting>
  <conditionalFormatting sqref="K50:K51">
    <cfRule type="expression" dxfId="15754" priority="701">
      <formula>$E50=""</formula>
    </cfRule>
  </conditionalFormatting>
  <conditionalFormatting sqref="K50:K51">
    <cfRule type="expression" dxfId="15753" priority="700">
      <formula>$E50=""</formula>
    </cfRule>
  </conditionalFormatting>
  <conditionalFormatting sqref="K50:K51">
    <cfRule type="cellIs" dxfId="15752" priority="699" stopIfTrue="1" operator="lessThan">
      <formula>0</formula>
    </cfRule>
  </conditionalFormatting>
  <conditionalFormatting sqref="K50:K51">
    <cfRule type="cellIs" dxfId="15751" priority="698" stopIfTrue="1" operator="lessThan">
      <formula>0</formula>
    </cfRule>
  </conditionalFormatting>
  <conditionalFormatting sqref="K50:K51">
    <cfRule type="cellIs" dxfId="15750" priority="697" stopIfTrue="1" operator="lessThan">
      <formula>0</formula>
    </cfRule>
  </conditionalFormatting>
  <conditionalFormatting sqref="K50:K51">
    <cfRule type="cellIs" dxfId="15749" priority="696" stopIfTrue="1" operator="lessThan">
      <formula>0</formula>
    </cfRule>
  </conditionalFormatting>
  <conditionalFormatting sqref="K50:K51">
    <cfRule type="expression" dxfId="15748" priority="695">
      <formula>$C50&lt;$E$3</formula>
    </cfRule>
  </conditionalFormatting>
  <conditionalFormatting sqref="K50:K51">
    <cfRule type="expression" dxfId="15747" priority="691">
      <formula>$C50=$E$3</formula>
    </cfRule>
    <cfRule type="expression" dxfId="15746" priority="692">
      <formula>$C50&lt;$E$3</formula>
    </cfRule>
    <cfRule type="cellIs" dxfId="15745" priority="693" operator="equal">
      <formula>0</formula>
    </cfRule>
    <cfRule type="expression" dxfId="15744" priority="694">
      <formula>$C50&gt;$E$3</formula>
    </cfRule>
  </conditionalFormatting>
  <conditionalFormatting sqref="K50:K51">
    <cfRule type="expression" dxfId="15743" priority="690">
      <formula>$C50&lt;$E$3</formula>
    </cfRule>
  </conditionalFormatting>
  <conditionalFormatting sqref="K50:K51">
    <cfRule type="expression" dxfId="15742" priority="686">
      <formula>$C50=$E$3</formula>
    </cfRule>
    <cfRule type="expression" dxfId="15741" priority="687">
      <formula>$C50&lt;$E$3</formula>
    </cfRule>
    <cfRule type="cellIs" dxfId="15740" priority="688" operator="equal">
      <formula>0</formula>
    </cfRule>
    <cfRule type="expression" dxfId="15739" priority="689">
      <formula>$C50&gt;$E$3</formula>
    </cfRule>
  </conditionalFormatting>
  <conditionalFormatting sqref="K50:K51">
    <cfRule type="expression" dxfId="15738" priority="685">
      <formula>$C50&lt;$E$3</formula>
    </cfRule>
  </conditionalFormatting>
  <conditionalFormatting sqref="K50:K51">
    <cfRule type="expression" dxfId="15737" priority="681">
      <formula>$C50=$E$3</formula>
    </cfRule>
    <cfRule type="expression" dxfId="15736" priority="682">
      <formula>$C50&lt;$E$3</formula>
    </cfRule>
    <cfRule type="cellIs" dxfId="15735" priority="683" operator="equal">
      <formula>0</formula>
    </cfRule>
    <cfRule type="expression" dxfId="15734" priority="684">
      <formula>$C50&gt;$E$3</formula>
    </cfRule>
  </conditionalFormatting>
  <conditionalFormatting sqref="K50:K51">
    <cfRule type="expression" dxfId="15733" priority="676">
      <formula>$C50=$E$3</formula>
    </cfRule>
    <cfRule type="expression" dxfId="15732" priority="677">
      <formula>$C50&lt;$E$3</formula>
    </cfRule>
    <cfRule type="cellIs" dxfId="15731" priority="678" operator="equal">
      <formula>0</formula>
    </cfRule>
    <cfRule type="expression" dxfId="15730" priority="679">
      <formula>$C50&gt;$E$3</formula>
    </cfRule>
  </conditionalFormatting>
  <conditionalFormatting sqref="K50:K51">
    <cfRule type="expression" dxfId="15729" priority="675">
      <formula>$E50=""</formula>
    </cfRule>
  </conditionalFormatting>
  <conditionalFormatting sqref="K50:K51">
    <cfRule type="expression" dxfId="15728" priority="674">
      <formula>$C50&lt;$E$3</formula>
    </cfRule>
  </conditionalFormatting>
  <conditionalFormatting sqref="K50:K51">
    <cfRule type="expression" dxfId="15727" priority="673">
      <formula>$E50=""</formula>
    </cfRule>
  </conditionalFormatting>
  <conditionalFormatting sqref="K50:K51">
    <cfRule type="expression" dxfId="15726" priority="672">
      <formula>$E50=""</formula>
    </cfRule>
  </conditionalFormatting>
  <conditionalFormatting sqref="K50:K51">
    <cfRule type="expression" dxfId="15725" priority="671">
      <formula>$C50&lt;$E$3</formula>
    </cfRule>
  </conditionalFormatting>
  <conditionalFormatting sqref="K50:K51">
    <cfRule type="expression" dxfId="15724" priority="670">
      <formula>$E50=""</formula>
    </cfRule>
  </conditionalFormatting>
  <conditionalFormatting sqref="K50:K51">
    <cfRule type="expression" dxfId="15723" priority="669">
      <formula>$C50&lt;$E$3</formula>
    </cfRule>
  </conditionalFormatting>
  <conditionalFormatting sqref="K50:K51">
    <cfRule type="expression" dxfId="15722" priority="668">
      <formula>$E50=""</formula>
    </cfRule>
  </conditionalFormatting>
  <conditionalFormatting sqref="K50:K51">
    <cfRule type="expression" dxfId="15721" priority="667">
      <formula>$C50&lt;$E$3</formula>
    </cfRule>
  </conditionalFormatting>
  <conditionalFormatting sqref="K50:K51">
    <cfRule type="expression" dxfId="15720" priority="666">
      <formula>$E50=""</formula>
    </cfRule>
  </conditionalFormatting>
  <conditionalFormatting sqref="K50:K51">
    <cfRule type="expression" dxfId="15719" priority="665">
      <formula>$C50&lt;$E$3</formula>
    </cfRule>
  </conditionalFormatting>
  <conditionalFormatting sqref="K50:K51">
    <cfRule type="expression" dxfId="15718" priority="661">
      <formula>$C50=$E$3</formula>
    </cfRule>
    <cfRule type="expression" dxfId="15717" priority="662">
      <formula>$C50&lt;$E$3</formula>
    </cfRule>
    <cfRule type="cellIs" dxfId="15716" priority="663" operator="equal">
      <formula>0</formula>
    </cfRule>
    <cfRule type="expression" dxfId="15715" priority="664">
      <formula>$C50&gt;$E$3</formula>
    </cfRule>
  </conditionalFormatting>
  <conditionalFormatting sqref="K50:K51">
    <cfRule type="expression" dxfId="15714" priority="660">
      <formula>$C50&lt;$E$3</formula>
    </cfRule>
  </conditionalFormatting>
  <conditionalFormatting sqref="K50:K51">
    <cfRule type="expression" dxfId="15713" priority="656">
      <formula>$C50=$E$3</formula>
    </cfRule>
    <cfRule type="expression" dxfId="15712" priority="657">
      <formula>$C50&lt;$E$3</formula>
    </cfRule>
    <cfRule type="cellIs" dxfId="15711" priority="658" operator="equal">
      <formula>0</formula>
    </cfRule>
    <cfRule type="expression" dxfId="15710" priority="659">
      <formula>$C50&gt;$E$3</formula>
    </cfRule>
  </conditionalFormatting>
  <conditionalFormatting sqref="K50:K51">
    <cfRule type="expression" dxfId="15709" priority="655">
      <formula>$C50&lt;$E$3</formula>
    </cfRule>
  </conditionalFormatting>
  <conditionalFormatting sqref="K50:K51">
    <cfRule type="expression" dxfId="15708" priority="651">
      <formula>$C50=$E$3</formula>
    </cfRule>
    <cfRule type="expression" dxfId="15707" priority="652">
      <formula>$C50&lt;$E$3</formula>
    </cfRule>
    <cfRule type="cellIs" dxfId="15706" priority="653" operator="equal">
      <formula>0</formula>
    </cfRule>
    <cfRule type="expression" dxfId="15705" priority="654">
      <formula>$C50&gt;$E$3</formula>
    </cfRule>
  </conditionalFormatting>
  <conditionalFormatting sqref="K50:K51">
    <cfRule type="expression" dxfId="15704" priority="650">
      <formula>$C50&lt;$E$3</formula>
    </cfRule>
  </conditionalFormatting>
  <conditionalFormatting sqref="K50:K51">
    <cfRule type="expression" dxfId="15703" priority="646">
      <formula>$C50=$E$3</formula>
    </cfRule>
    <cfRule type="expression" dxfId="15702" priority="647">
      <formula>$C50&lt;$E$3</formula>
    </cfRule>
    <cfRule type="cellIs" dxfId="15701" priority="648" operator="equal">
      <formula>0</formula>
    </cfRule>
    <cfRule type="expression" dxfId="15700" priority="649">
      <formula>$C50&gt;$E$3</formula>
    </cfRule>
  </conditionalFormatting>
  <conditionalFormatting sqref="K50:K51">
    <cfRule type="expression" dxfId="15699" priority="645">
      <formula>$E50=""</formula>
    </cfRule>
  </conditionalFormatting>
  <conditionalFormatting sqref="K50:K51">
    <cfRule type="expression" dxfId="15698" priority="644">
      <formula>$C50&lt;$E$3</formula>
    </cfRule>
  </conditionalFormatting>
  <conditionalFormatting sqref="K50:K51">
    <cfRule type="expression" dxfId="15697" priority="643">
      <formula>$E50=""</formula>
    </cfRule>
  </conditionalFormatting>
  <conditionalFormatting sqref="K50:K51">
    <cfRule type="expression" dxfId="15696" priority="642">
      <formula>$E50=""</formula>
    </cfRule>
  </conditionalFormatting>
  <conditionalFormatting sqref="K50:K51">
    <cfRule type="expression" dxfId="15695" priority="641">
      <formula>$C50&lt;$E$3</formula>
    </cfRule>
  </conditionalFormatting>
  <conditionalFormatting sqref="K50:K51">
    <cfRule type="expression" dxfId="15694" priority="640">
      <formula>$E50=""</formula>
    </cfRule>
  </conditionalFormatting>
  <conditionalFormatting sqref="K50:K51">
    <cfRule type="expression" dxfId="15693" priority="639">
      <formula>$C50&lt;$E$3</formula>
    </cfRule>
  </conditionalFormatting>
  <conditionalFormatting sqref="K50:K51">
    <cfRule type="expression" dxfId="15692" priority="638">
      <formula>$E50=""</formula>
    </cfRule>
  </conditionalFormatting>
  <conditionalFormatting sqref="K50:K51">
    <cfRule type="expression" dxfId="15691" priority="637">
      <formula>$C50&lt;$E$3</formula>
    </cfRule>
  </conditionalFormatting>
  <conditionalFormatting sqref="K50:K51">
    <cfRule type="expression" dxfId="15690" priority="636">
      <formula>$E50=""</formula>
    </cfRule>
  </conditionalFormatting>
  <conditionalFormatting sqref="K50:K51">
    <cfRule type="expression" dxfId="15689" priority="634">
      <formula>$C50&lt;$E$3</formula>
    </cfRule>
  </conditionalFormatting>
  <conditionalFormatting sqref="K50:K51">
    <cfRule type="expression" dxfId="15688" priority="631">
      <formula>$C50=$E$3</formula>
    </cfRule>
    <cfRule type="expression" dxfId="15687" priority="632">
      <formula>$C50&lt;$E$3</formula>
    </cfRule>
    <cfRule type="cellIs" dxfId="15686" priority="633" operator="equal">
      <formula>0</formula>
    </cfRule>
    <cfRule type="expression" dxfId="15685" priority="635">
      <formula>$C50&gt;$E$3</formula>
    </cfRule>
  </conditionalFormatting>
  <conditionalFormatting sqref="K50:K51">
    <cfRule type="expression" dxfId="15684" priority="630">
      <formula>$E50=""</formula>
    </cfRule>
  </conditionalFormatting>
  <conditionalFormatting sqref="K50:K51">
    <cfRule type="expression" dxfId="15683" priority="629">
      <formula>$E50=""</formula>
    </cfRule>
  </conditionalFormatting>
  <conditionalFormatting sqref="K50:K51">
    <cfRule type="expression" dxfId="15682" priority="628">
      <formula>$E50=""</formula>
    </cfRule>
  </conditionalFormatting>
  <conditionalFormatting sqref="N5:N6 N9">
    <cfRule type="cellIs" dxfId="15681" priority="627" stopIfTrue="1" operator="lessThan">
      <formula>0</formula>
    </cfRule>
  </conditionalFormatting>
  <conditionalFormatting sqref="J14:J20 L14:M20 J41:J47 L32:M38 L41:M47 J23:J29 J32:J38 L23:M29">
    <cfRule type="cellIs" dxfId="15680" priority="626" stopIfTrue="1" operator="lessThan">
      <formula>0</formula>
    </cfRule>
  </conditionalFormatting>
  <conditionalFormatting sqref="J14:J20 J41:J47 L14:M20 L32:M38 L41:M47 J23:J29 J32:J38 L23:M29">
    <cfRule type="expression" dxfId="15679" priority="624">
      <formula>$C14&lt;$E$3</formula>
    </cfRule>
  </conditionalFormatting>
  <conditionalFormatting sqref="J14:J20 J41:J47 L14:M20 L32:M38 L41:M47 J23:J29 J32:J38 L23:M29">
    <cfRule type="expression" dxfId="15678" priority="621">
      <formula>$C14=$E$3</formula>
    </cfRule>
    <cfRule type="expression" dxfId="15677" priority="622">
      <formula>$C14&lt;$E$3</formula>
    </cfRule>
    <cfRule type="cellIs" dxfId="15676" priority="623" operator="equal">
      <formula>0</formula>
    </cfRule>
    <cfRule type="expression" dxfId="15675" priority="625">
      <formula>$C14&gt;$E$3</formula>
    </cfRule>
  </conditionalFormatting>
  <conditionalFormatting sqref="J41:J47 J14:J20 L14:M20 L32:M38 L41:M47 J23:J29 J32:J38 L23:M29">
    <cfRule type="expression" dxfId="15674" priority="619">
      <formula>$E14=""</formula>
    </cfRule>
  </conditionalFormatting>
  <conditionalFormatting sqref="J41:J47 J14:J20 L14:M20 L32:M38 L41:M47 J23:J29 J32:J38 L23:M29">
    <cfRule type="expression" dxfId="15673" priority="618">
      <formula>$E14=""</formula>
    </cfRule>
  </conditionalFormatting>
  <conditionalFormatting sqref="M14:M20 M32:M38 M41:M47 M23:M29">
    <cfRule type="expression" dxfId="15672" priority="613">
      <formula>$C14=$E$3</formula>
    </cfRule>
    <cfRule type="expression" dxfId="15671" priority="614">
      <formula>$C14&lt;$E$3</formula>
    </cfRule>
    <cfRule type="cellIs" dxfId="15670" priority="615" operator="equal">
      <formula>0</formula>
    </cfRule>
    <cfRule type="expression" dxfId="15669" priority="616">
      <formula>$C14&gt;$E$3</formula>
    </cfRule>
  </conditionalFormatting>
  <conditionalFormatting sqref="M14:M20 M32:M38 M41:M47 M23:M29">
    <cfRule type="expression" dxfId="15668" priority="612">
      <formula>$C14&lt;$E$3</formula>
    </cfRule>
  </conditionalFormatting>
  <conditionalFormatting sqref="M14:M20 M32:M38 M41:M47 M23:M29">
    <cfRule type="expression" dxfId="15667" priority="608">
      <formula>$C14=$E$3</formula>
    </cfRule>
    <cfRule type="expression" dxfId="15666" priority="609">
      <formula>$C14&lt;$E$3</formula>
    </cfRule>
    <cfRule type="cellIs" dxfId="15665" priority="610" operator="equal">
      <formula>0</formula>
    </cfRule>
    <cfRule type="expression" dxfId="15664" priority="611">
      <formula>$C14&gt;$E$3</formula>
    </cfRule>
  </conditionalFormatting>
  <conditionalFormatting sqref="M14:M20 M32:M38 M41:M47 M23:M29">
    <cfRule type="expression" dxfId="15663" priority="607">
      <formula>$C14&lt;$E$3</formula>
    </cfRule>
  </conditionalFormatting>
  <conditionalFormatting sqref="M14:M20 M32:M38 M41:M47 M23:M29">
    <cfRule type="expression" dxfId="15662" priority="603">
      <formula>$C14=$E$3</formula>
    </cfRule>
    <cfRule type="expression" dxfId="15661" priority="604">
      <formula>$C14&lt;$E$3</formula>
    </cfRule>
    <cfRule type="cellIs" dxfId="15660" priority="605" operator="equal">
      <formula>0</formula>
    </cfRule>
    <cfRule type="expression" dxfId="15659" priority="606">
      <formula>$C14&gt;$E$3</formula>
    </cfRule>
  </conditionalFormatting>
  <conditionalFormatting sqref="M14:M20 M32:M38 M41:M47 M23:M29">
    <cfRule type="expression" dxfId="15658" priority="602">
      <formula>$C14&lt;$E$3</formula>
    </cfRule>
  </conditionalFormatting>
  <conditionalFormatting sqref="M14:M20 M32:M38 M41:M47 M23:M29">
    <cfRule type="expression" dxfId="15657" priority="598">
      <formula>$C14=$E$3</formula>
    </cfRule>
    <cfRule type="expression" dxfId="15656" priority="599">
      <formula>$C14&lt;$E$3</formula>
    </cfRule>
    <cfRule type="cellIs" dxfId="15655" priority="600" operator="equal">
      <formula>0</formula>
    </cfRule>
    <cfRule type="expression" dxfId="15654" priority="601">
      <formula>$C14&gt;$E$3</formula>
    </cfRule>
  </conditionalFormatting>
  <conditionalFormatting sqref="M14:M20 M32:M38 M41:M47 M23:M29">
    <cfRule type="expression" dxfId="15653" priority="597">
      <formula>$E14=""</formula>
    </cfRule>
  </conditionalFormatting>
  <conditionalFormatting sqref="M14:M20 M32:M38 M41:M47 M23:M29">
    <cfRule type="expression" dxfId="15652" priority="596">
      <formula>$C14&lt;$E$3</formula>
    </cfRule>
  </conditionalFormatting>
  <conditionalFormatting sqref="M14:M20 M32:M38 M41:M47 M23:M29">
    <cfRule type="expression" dxfId="15651" priority="595">
      <formula>$E14=""</formula>
    </cfRule>
  </conditionalFormatting>
  <conditionalFormatting sqref="M32:M38 M41:M47 M14:M20 M23:M29">
    <cfRule type="expression" dxfId="15650" priority="594">
      <formula>$E14=""</formula>
    </cfRule>
  </conditionalFormatting>
  <conditionalFormatting sqref="M14:M20 M32:M38 M41:M47 M23:M29">
    <cfRule type="expression" dxfId="15649" priority="593">
      <formula>$C14&lt;$E$3</formula>
    </cfRule>
  </conditionalFormatting>
  <conditionalFormatting sqref="M14:M20 M32:M38 M41:M47 M23:M29">
    <cfRule type="expression" dxfId="15648" priority="592">
      <formula>$E14=""</formula>
    </cfRule>
  </conditionalFormatting>
  <conditionalFormatting sqref="M14:M20 M32:M38 M41:M47 M23:M29">
    <cfRule type="expression" dxfId="15647" priority="591">
      <formula>$C14&lt;$E$3</formula>
    </cfRule>
  </conditionalFormatting>
  <conditionalFormatting sqref="M14:M20 M32:M38 M41:M47 M23:M29">
    <cfRule type="expression" dxfId="15646" priority="590">
      <formula>$E14=""</formula>
    </cfRule>
  </conditionalFormatting>
  <conditionalFormatting sqref="M14:M20 M32:M38 M41:M47 M23:M29">
    <cfRule type="expression" dxfId="15645" priority="588">
      <formula>$E14=""</formula>
    </cfRule>
  </conditionalFormatting>
  <conditionalFormatting sqref="M14:M20 M32:M38 M41:M47 M23:M29">
    <cfRule type="expression" dxfId="15644" priority="583">
      <formula>$C14=$E$3</formula>
    </cfRule>
    <cfRule type="expression" dxfId="15643" priority="584">
      <formula>$C14&lt;$E$3</formula>
    </cfRule>
    <cfRule type="cellIs" dxfId="15642" priority="585" operator="equal">
      <formula>0</formula>
    </cfRule>
    <cfRule type="expression" dxfId="15641" priority="586">
      <formula>$C14&gt;$E$3</formula>
    </cfRule>
  </conditionalFormatting>
  <conditionalFormatting sqref="M14:M20 M32:M38 M41:M47 M23:M29">
    <cfRule type="expression" dxfId="15640" priority="582">
      <formula>$C14&lt;$E$3</formula>
    </cfRule>
  </conditionalFormatting>
  <conditionalFormatting sqref="M14:M20 M32:M38 M41:M47 M23:M29">
    <cfRule type="expression" dxfId="15639" priority="578">
      <formula>$C14=$E$3</formula>
    </cfRule>
    <cfRule type="expression" dxfId="15638" priority="579">
      <formula>$C14&lt;$E$3</formula>
    </cfRule>
    <cfRule type="cellIs" dxfId="15637" priority="580" operator="equal">
      <formula>0</formula>
    </cfRule>
    <cfRule type="expression" dxfId="15636" priority="581">
      <formula>$C14&gt;$E$3</formula>
    </cfRule>
  </conditionalFormatting>
  <conditionalFormatting sqref="M14:M20 M32:M38 M41:M47 M23:M29">
    <cfRule type="expression" dxfId="15635" priority="577">
      <formula>$C14&lt;$E$3</formula>
    </cfRule>
  </conditionalFormatting>
  <conditionalFormatting sqref="M14:M20 M32:M38 M41:M47 M23:M29">
    <cfRule type="expression" dxfId="15634" priority="573">
      <formula>$C14=$E$3</formula>
    </cfRule>
    <cfRule type="expression" dxfId="15633" priority="574">
      <formula>$C14&lt;$E$3</formula>
    </cfRule>
    <cfRule type="cellIs" dxfId="15632" priority="575" operator="equal">
      <formula>0</formula>
    </cfRule>
    <cfRule type="expression" dxfId="15631" priority="576">
      <formula>$C14&gt;$E$3</formula>
    </cfRule>
  </conditionalFormatting>
  <conditionalFormatting sqref="M14:M20 M32:M38 M41:M47 M23:M29">
    <cfRule type="expression" dxfId="15630" priority="572">
      <formula>$C14&lt;$E$3</formula>
    </cfRule>
  </conditionalFormatting>
  <conditionalFormatting sqref="M14:M20 M32:M38 M41:M47 M23:M29">
    <cfRule type="expression" dxfId="15629" priority="568">
      <formula>$C14=$E$3</formula>
    </cfRule>
    <cfRule type="expression" dxfId="15628" priority="569">
      <formula>$C14&lt;$E$3</formula>
    </cfRule>
    <cfRule type="cellIs" dxfId="15627" priority="570" operator="equal">
      <formula>0</formula>
    </cfRule>
    <cfRule type="expression" dxfId="15626" priority="571">
      <formula>$C14&gt;$E$3</formula>
    </cfRule>
  </conditionalFormatting>
  <conditionalFormatting sqref="M14:M20 M32:M38 M41:M47 M23:M29">
    <cfRule type="expression" dxfId="15625" priority="567">
      <formula>$E14=""</formula>
    </cfRule>
  </conditionalFormatting>
  <conditionalFormatting sqref="M14:M20 M32:M38 M41:M47 M23:M29">
    <cfRule type="expression" dxfId="15624" priority="566">
      <formula>$C14&lt;$E$3</formula>
    </cfRule>
  </conditionalFormatting>
  <conditionalFormatting sqref="M14:M20 M32:M38 M41:M47 M23:M29">
    <cfRule type="expression" dxfId="15623" priority="565">
      <formula>$E14=""</formula>
    </cfRule>
  </conditionalFormatting>
  <conditionalFormatting sqref="M32:M38 M41:M47 M14:M20 M23:M29">
    <cfRule type="expression" dxfId="15622" priority="564">
      <formula>$E14=""</formula>
    </cfRule>
  </conditionalFormatting>
  <conditionalFormatting sqref="M14:M20 M32:M38 M41:M47 M23:M29">
    <cfRule type="expression" dxfId="15621" priority="563">
      <formula>$C14&lt;$E$3</formula>
    </cfRule>
  </conditionalFormatting>
  <conditionalFormatting sqref="M14:M20 M32:M38 M41:M47 M23:M29">
    <cfRule type="expression" dxfId="15620" priority="562">
      <formula>$E14=""</formula>
    </cfRule>
  </conditionalFormatting>
  <conditionalFormatting sqref="M14:M20 M32:M38 M41:M47 M23:M29">
    <cfRule type="expression" dxfId="15619" priority="561">
      <formula>$C14&lt;$E$3</formula>
    </cfRule>
  </conditionalFormatting>
  <conditionalFormatting sqref="M14:M20 M32:M38 M41:M47 M23:M29">
    <cfRule type="expression" dxfId="15618" priority="560">
      <formula>$E14=""</formula>
    </cfRule>
  </conditionalFormatting>
  <conditionalFormatting sqref="M14:M20 M32:M38 M41:M47 M23:M29">
    <cfRule type="expression" dxfId="15617" priority="558">
      <formula>$E14=""</formula>
    </cfRule>
  </conditionalFormatting>
  <conditionalFormatting sqref="K37">
    <cfRule type="expression" dxfId="15616" priority="263">
      <formula>$C37&lt;$E$3</formula>
    </cfRule>
  </conditionalFormatting>
  <conditionalFormatting sqref="K37">
    <cfRule type="expression" dxfId="15615" priority="259">
      <formula>$C37=$E$3</formula>
    </cfRule>
    <cfRule type="expression" dxfId="15614" priority="260">
      <formula>$C37&lt;$E$3</formula>
    </cfRule>
    <cfRule type="cellIs" dxfId="15613" priority="261" operator="equal">
      <formula>0</formula>
    </cfRule>
    <cfRule type="expression" dxfId="15612" priority="262">
      <formula>$C37&gt;$E$3</formula>
    </cfRule>
  </conditionalFormatting>
  <conditionalFormatting sqref="K37">
    <cfRule type="expression" dxfId="15611" priority="233">
      <formula>$C37&lt;$E$3</formula>
    </cfRule>
  </conditionalFormatting>
  <conditionalFormatting sqref="K37">
    <cfRule type="expression" dxfId="15610" priority="229">
      <formula>$C37=$E$3</formula>
    </cfRule>
    <cfRule type="expression" dxfId="15609" priority="230">
      <formula>$C37&lt;$E$3</formula>
    </cfRule>
    <cfRule type="cellIs" dxfId="15608" priority="231" operator="equal">
      <formula>0</formula>
    </cfRule>
    <cfRule type="expression" dxfId="15607" priority="232">
      <formula>$C37&gt;$E$3</formula>
    </cfRule>
  </conditionalFormatting>
  <conditionalFormatting sqref="K32:K36">
    <cfRule type="expression" dxfId="15606" priority="203">
      <formula>$C32&lt;$E$3</formula>
    </cfRule>
  </conditionalFormatting>
  <conditionalFormatting sqref="K32:K36">
    <cfRule type="expression" dxfId="15605" priority="199">
      <formula>$C32=$E$3</formula>
    </cfRule>
    <cfRule type="expression" dxfId="15604" priority="200">
      <formula>$C32&lt;$E$3</formula>
    </cfRule>
    <cfRule type="cellIs" dxfId="15603" priority="201" operator="equal">
      <formula>0</formula>
    </cfRule>
    <cfRule type="expression" dxfId="15602" priority="202">
      <formula>$C32&gt;$E$3</formula>
    </cfRule>
  </conditionalFormatting>
  <conditionalFormatting sqref="K32:K36">
    <cfRule type="expression" dxfId="15601" priority="198">
      <formula>$C32&lt;$E$3</formula>
    </cfRule>
  </conditionalFormatting>
  <conditionalFormatting sqref="K32:K36">
    <cfRule type="expression" dxfId="15600" priority="194">
      <formula>$C32=$E$3</formula>
    </cfRule>
    <cfRule type="expression" dxfId="15599" priority="195">
      <formula>$C32&lt;$E$3</formula>
    </cfRule>
    <cfRule type="cellIs" dxfId="15598" priority="196" operator="equal">
      <formula>0</formula>
    </cfRule>
    <cfRule type="expression" dxfId="15597" priority="197">
      <formula>$C32&gt;$E$3</formula>
    </cfRule>
  </conditionalFormatting>
  <conditionalFormatting sqref="J39:N40">
    <cfRule type="expression" dxfId="15596" priority="557">
      <formula>$L$40=0</formula>
    </cfRule>
  </conditionalFormatting>
  <conditionalFormatting sqref="K14:K20">
    <cfRule type="cellIs" dxfId="15595" priority="556" stopIfTrue="1" operator="lessThan">
      <formula>0</formula>
    </cfRule>
  </conditionalFormatting>
  <conditionalFormatting sqref="K14:K20">
    <cfRule type="expression" dxfId="15594" priority="554">
      <formula>$C14&lt;$E$3</formula>
    </cfRule>
  </conditionalFormatting>
  <conditionalFormatting sqref="K14:K20">
    <cfRule type="expression" dxfId="15593" priority="551">
      <formula>$C14=$E$3</formula>
    </cfRule>
    <cfRule type="expression" dxfId="15592" priority="552">
      <formula>$C14&lt;$E$3</formula>
    </cfRule>
    <cfRule type="cellIs" dxfId="15591" priority="553" operator="equal">
      <formula>0</formula>
    </cfRule>
    <cfRule type="expression" dxfId="15590" priority="555">
      <formula>$C14&gt;$E$3</formula>
    </cfRule>
  </conditionalFormatting>
  <conditionalFormatting sqref="K14:K20">
    <cfRule type="expression" dxfId="15589" priority="550">
      <formula>$E14=""</formula>
    </cfRule>
  </conditionalFormatting>
  <conditionalFormatting sqref="K14:K20">
    <cfRule type="expression" dxfId="15588" priority="549">
      <formula>$E14=""</formula>
    </cfRule>
  </conditionalFormatting>
  <conditionalFormatting sqref="K14:K20">
    <cfRule type="expression" dxfId="15587" priority="548">
      <formula>$E14=""</formula>
    </cfRule>
  </conditionalFormatting>
  <conditionalFormatting sqref="K19">
    <cfRule type="expression" dxfId="15586" priority="547">
      <formula>$C19&lt;$E$3</formula>
    </cfRule>
  </conditionalFormatting>
  <conditionalFormatting sqref="K19">
    <cfRule type="expression" dxfId="15585" priority="543">
      <formula>$C19=$E$3</formula>
    </cfRule>
    <cfRule type="expression" dxfId="15584" priority="544">
      <formula>$C19&lt;$E$3</formula>
    </cfRule>
    <cfRule type="cellIs" dxfId="15583" priority="545" operator="equal">
      <formula>0</formula>
    </cfRule>
    <cfRule type="expression" dxfId="15582" priority="546">
      <formula>$C19&gt;$E$3</formula>
    </cfRule>
  </conditionalFormatting>
  <conditionalFormatting sqref="K19">
    <cfRule type="expression" dxfId="15581" priority="542">
      <formula>$C19&lt;$E$3</formula>
    </cfRule>
  </conditionalFormatting>
  <conditionalFormatting sqref="K19">
    <cfRule type="expression" dxfId="15580" priority="538">
      <formula>$C19=$E$3</formula>
    </cfRule>
    <cfRule type="expression" dxfId="15579" priority="539">
      <formula>$C19&lt;$E$3</formula>
    </cfRule>
    <cfRule type="cellIs" dxfId="15578" priority="540" operator="equal">
      <formula>0</formula>
    </cfRule>
    <cfRule type="expression" dxfId="15577" priority="541">
      <formula>$C19&gt;$E$3</formula>
    </cfRule>
  </conditionalFormatting>
  <conditionalFormatting sqref="K19">
    <cfRule type="expression" dxfId="15576" priority="537">
      <formula>$C19&lt;$E$3</formula>
    </cfRule>
  </conditionalFormatting>
  <conditionalFormatting sqref="K19">
    <cfRule type="expression" dxfId="15575" priority="533">
      <formula>$C19=$E$3</formula>
    </cfRule>
    <cfRule type="expression" dxfId="15574" priority="534">
      <formula>$C19&lt;$E$3</formula>
    </cfRule>
    <cfRule type="cellIs" dxfId="15573" priority="535" operator="equal">
      <formula>0</formula>
    </cfRule>
    <cfRule type="expression" dxfId="15572" priority="536">
      <formula>$C19&gt;$E$3</formula>
    </cfRule>
  </conditionalFormatting>
  <conditionalFormatting sqref="K19">
    <cfRule type="expression" dxfId="15571" priority="532">
      <formula>$C19&lt;$E$3</formula>
    </cfRule>
  </conditionalFormatting>
  <conditionalFormatting sqref="K19">
    <cfRule type="expression" dxfId="15570" priority="528">
      <formula>$C19=$E$3</formula>
    </cfRule>
    <cfRule type="expression" dxfId="15569" priority="529">
      <formula>$C19&lt;$E$3</formula>
    </cfRule>
    <cfRule type="cellIs" dxfId="15568" priority="530" operator="equal">
      <formula>0</formula>
    </cfRule>
    <cfRule type="expression" dxfId="15567" priority="531">
      <formula>$C19&gt;$E$3</formula>
    </cfRule>
  </conditionalFormatting>
  <conditionalFormatting sqref="K19">
    <cfRule type="expression" dxfId="15566" priority="527">
      <formula>$E19=""</formula>
    </cfRule>
  </conditionalFormatting>
  <conditionalFormatting sqref="K19">
    <cfRule type="expression" dxfId="15565" priority="525">
      <formula>$E19=""</formula>
    </cfRule>
  </conditionalFormatting>
  <conditionalFormatting sqref="K19">
    <cfRule type="expression" dxfId="15564" priority="524">
      <formula>$E19=""</formula>
    </cfRule>
  </conditionalFormatting>
  <conditionalFormatting sqref="K19">
    <cfRule type="expression" dxfId="15563" priority="523">
      <formula>$C19&lt;$E$3</formula>
    </cfRule>
  </conditionalFormatting>
  <conditionalFormatting sqref="K19">
    <cfRule type="expression" dxfId="15562" priority="522">
      <formula>$E19=""</formula>
    </cfRule>
  </conditionalFormatting>
  <conditionalFormatting sqref="K19">
    <cfRule type="expression" dxfId="15561" priority="520">
      <formula>$E19=""</formula>
    </cfRule>
  </conditionalFormatting>
  <conditionalFormatting sqref="K19">
    <cfRule type="expression" dxfId="15560" priority="519">
      <formula>$C19&lt;$E$3</formula>
    </cfRule>
  </conditionalFormatting>
  <conditionalFormatting sqref="K19">
    <cfRule type="expression" dxfId="15559" priority="518">
      <formula>$E19=""</formula>
    </cfRule>
  </conditionalFormatting>
  <conditionalFormatting sqref="K19">
    <cfRule type="expression" dxfId="15558" priority="517">
      <formula>$C19&lt;$E$3</formula>
    </cfRule>
  </conditionalFormatting>
  <conditionalFormatting sqref="K19">
    <cfRule type="expression" dxfId="15557" priority="513">
      <formula>$C19=$E$3</formula>
    </cfRule>
    <cfRule type="expression" dxfId="15556" priority="514">
      <formula>$C19&lt;$E$3</formula>
    </cfRule>
    <cfRule type="cellIs" dxfId="15555" priority="515" operator="equal">
      <formula>0</formula>
    </cfRule>
    <cfRule type="expression" dxfId="15554" priority="516">
      <formula>$C19&gt;$E$3</formula>
    </cfRule>
  </conditionalFormatting>
  <conditionalFormatting sqref="K19">
    <cfRule type="expression" dxfId="15553" priority="508">
      <formula>$C19=$E$3</formula>
    </cfRule>
    <cfRule type="expression" dxfId="15552" priority="509">
      <formula>$C19&lt;$E$3</formula>
    </cfRule>
    <cfRule type="cellIs" dxfId="15551" priority="510" operator="equal">
      <formula>0</formula>
    </cfRule>
    <cfRule type="expression" dxfId="15550" priority="511">
      <formula>$C19&gt;$E$3</formula>
    </cfRule>
  </conditionalFormatting>
  <conditionalFormatting sqref="K19">
    <cfRule type="expression" dxfId="15549" priority="507">
      <formula>$C19&lt;$E$3</formula>
    </cfRule>
  </conditionalFormatting>
  <conditionalFormatting sqref="K19">
    <cfRule type="expression" dxfId="15548" priority="503">
      <formula>$C19=$E$3</formula>
    </cfRule>
    <cfRule type="expression" dxfId="15547" priority="504">
      <formula>$C19&lt;$E$3</formula>
    </cfRule>
    <cfRule type="cellIs" dxfId="15546" priority="505" operator="equal">
      <formula>0</formula>
    </cfRule>
    <cfRule type="expression" dxfId="15545" priority="506">
      <formula>$C19&gt;$E$3</formula>
    </cfRule>
  </conditionalFormatting>
  <conditionalFormatting sqref="K19">
    <cfRule type="expression" dxfId="15544" priority="502">
      <formula>$C19&lt;$E$3</formula>
    </cfRule>
  </conditionalFormatting>
  <conditionalFormatting sqref="K19">
    <cfRule type="expression" dxfId="15543" priority="498">
      <formula>$C19=$E$3</formula>
    </cfRule>
    <cfRule type="expression" dxfId="15542" priority="499">
      <formula>$C19&lt;$E$3</formula>
    </cfRule>
    <cfRule type="cellIs" dxfId="15541" priority="500" operator="equal">
      <formula>0</formula>
    </cfRule>
    <cfRule type="expression" dxfId="15540" priority="501">
      <formula>$C19&gt;$E$3</formula>
    </cfRule>
  </conditionalFormatting>
  <conditionalFormatting sqref="K19">
    <cfRule type="expression" dxfId="15539" priority="497">
      <formula>$E19=""</formula>
    </cfRule>
  </conditionalFormatting>
  <conditionalFormatting sqref="K19">
    <cfRule type="expression" dxfId="15538" priority="495">
      <formula>$E19=""</formula>
    </cfRule>
  </conditionalFormatting>
  <conditionalFormatting sqref="K19">
    <cfRule type="expression" dxfId="15537" priority="494">
      <formula>$E19=""</formula>
    </cfRule>
  </conditionalFormatting>
  <conditionalFormatting sqref="K19">
    <cfRule type="expression" dxfId="15536" priority="493">
      <formula>$C19&lt;$E$3</formula>
    </cfRule>
  </conditionalFormatting>
  <conditionalFormatting sqref="K19">
    <cfRule type="expression" dxfId="15535" priority="492">
      <formula>$E19=""</formula>
    </cfRule>
  </conditionalFormatting>
  <conditionalFormatting sqref="K19">
    <cfRule type="expression" dxfId="15534" priority="490">
      <formula>$E19=""</formula>
    </cfRule>
  </conditionalFormatting>
  <conditionalFormatting sqref="K19">
    <cfRule type="expression" dxfId="15533" priority="489">
      <formula>$C19&lt;$E$3</formula>
    </cfRule>
  </conditionalFormatting>
  <conditionalFormatting sqref="K19">
    <cfRule type="expression" dxfId="15532" priority="488">
      <formula>$E19=""</formula>
    </cfRule>
  </conditionalFormatting>
  <conditionalFormatting sqref="K14:K18">
    <cfRule type="expression" dxfId="15531" priority="487">
      <formula>$C14&lt;$E$3</formula>
    </cfRule>
  </conditionalFormatting>
  <conditionalFormatting sqref="K14:K18">
    <cfRule type="expression" dxfId="15530" priority="483">
      <formula>$C14=$E$3</formula>
    </cfRule>
    <cfRule type="expression" dxfId="15529" priority="484">
      <formula>$C14&lt;$E$3</formula>
    </cfRule>
    <cfRule type="cellIs" dxfId="15528" priority="485" operator="equal">
      <formula>0</formula>
    </cfRule>
    <cfRule type="expression" dxfId="15527" priority="486">
      <formula>$C14&gt;$E$3</formula>
    </cfRule>
  </conditionalFormatting>
  <conditionalFormatting sqref="K14:K18">
    <cfRule type="expression" dxfId="15526" priority="478">
      <formula>$C14=$E$3</formula>
    </cfRule>
    <cfRule type="expression" dxfId="15525" priority="479">
      <formula>$C14&lt;$E$3</formula>
    </cfRule>
    <cfRule type="cellIs" dxfId="15524" priority="480" operator="equal">
      <formula>0</formula>
    </cfRule>
    <cfRule type="expression" dxfId="15523" priority="481">
      <formula>$C14&gt;$E$3</formula>
    </cfRule>
  </conditionalFormatting>
  <conditionalFormatting sqref="K14:K18">
    <cfRule type="expression" dxfId="15522" priority="477">
      <formula>$C14&lt;$E$3</formula>
    </cfRule>
  </conditionalFormatting>
  <conditionalFormatting sqref="K14:K18">
    <cfRule type="expression" dxfId="15521" priority="473">
      <formula>$C14=$E$3</formula>
    </cfRule>
    <cfRule type="expression" dxfId="15520" priority="474">
      <formula>$C14&lt;$E$3</formula>
    </cfRule>
    <cfRule type="cellIs" dxfId="15519" priority="475" operator="equal">
      <formula>0</formula>
    </cfRule>
    <cfRule type="expression" dxfId="15518" priority="476">
      <formula>$C14&gt;$E$3</formula>
    </cfRule>
  </conditionalFormatting>
  <conditionalFormatting sqref="K14:K18">
    <cfRule type="expression" dxfId="15517" priority="472">
      <formula>$C14&lt;$E$3</formula>
    </cfRule>
  </conditionalFormatting>
  <conditionalFormatting sqref="K14:K18">
    <cfRule type="expression" dxfId="15516" priority="468">
      <formula>$C14=$E$3</formula>
    </cfRule>
    <cfRule type="expression" dxfId="15515" priority="469">
      <formula>$C14&lt;$E$3</formula>
    </cfRule>
    <cfRule type="cellIs" dxfId="15514" priority="470" operator="equal">
      <formula>0</formula>
    </cfRule>
    <cfRule type="expression" dxfId="15513" priority="471">
      <formula>$C14&gt;$E$3</formula>
    </cfRule>
  </conditionalFormatting>
  <conditionalFormatting sqref="K14:K18">
    <cfRule type="expression" dxfId="15512" priority="467">
      <formula>$E14=""</formula>
    </cfRule>
  </conditionalFormatting>
  <conditionalFormatting sqref="K14:K18">
    <cfRule type="expression" dxfId="15511" priority="465">
      <formula>$E14=""</formula>
    </cfRule>
  </conditionalFormatting>
  <conditionalFormatting sqref="K14:K18">
    <cfRule type="expression" dxfId="15510" priority="464">
      <formula>$E14=""</formula>
    </cfRule>
  </conditionalFormatting>
  <conditionalFormatting sqref="K14:K18">
    <cfRule type="expression" dxfId="15509" priority="463">
      <formula>$C14&lt;$E$3</formula>
    </cfRule>
  </conditionalFormatting>
  <conditionalFormatting sqref="K14:K18">
    <cfRule type="expression" dxfId="15508" priority="462">
      <formula>$E14=""</formula>
    </cfRule>
  </conditionalFormatting>
  <conditionalFormatting sqref="K14:K18">
    <cfRule type="expression" dxfId="15507" priority="460">
      <formula>$E14=""</formula>
    </cfRule>
  </conditionalFormatting>
  <conditionalFormatting sqref="K14:K18">
    <cfRule type="expression" dxfId="15506" priority="459">
      <formula>$C14&lt;$E$3</formula>
    </cfRule>
  </conditionalFormatting>
  <conditionalFormatting sqref="K14:K18">
    <cfRule type="expression" dxfId="15505" priority="458">
      <formula>$E14=""</formula>
    </cfRule>
  </conditionalFormatting>
  <conditionalFormatting sqref="K14:K18">
    <cfRule type="expression" dxfId="15504" priority="457">
      <formula>$C14&lt;$E$3</formula>
    </cfRule>
  </conditionalFormatting>
  <conditionalFormatting sqref="K14:K18">
    <cfRule type="expression" dxfId="15503" priority="453">
      <formula>$C14=$E$3</formula>
    </cfRule>
    <cfRule type="expression" dxfId="15502" priority="454">
      <formula>$C14&lt;$E$3</formula>
    </cfRule>
    <cfRule type="cellIs" dxfId="15501" priority="455" operator="equal">
      <formula>0</formula>
    </cfRule>
    <cfRule type="expression" dxfId="15500" priority="456">
      <formula>$C14&gt;$E$3</formula>
    </cfRule>
  </conditionalFormatting>
  <conditionalFormatting sqref="K14:K18">
    <cfRule type="expression" dxfId="15499" priority="448">
      <formula>$C14=$E$3</formula>
    </cfRule>
    <cfRule type="expression" dxfId="15498" priority="449">
      <formula>$C14&lt;$E$3</formula>
    </cfRule>
    <cfRule type="cellIs" dxfId="15497" priority="450" operator="equal">
      <formula>0</formula>
    </cfRule>
    <cfRule type="expression" dxfId="15496" priority="451">
      <formula>$C14&gt;$E$3</formula>
    </cfRule>
  </conditionalFormatting>
  <conditionalFormatting sqref="K14:K18">
    <cfRule type="expression" dxfId="15495" priority="447">
      <formula>$C14&lt;$E$3</formula>
    </cfRule>
  </conditionalFormatting>
  <conditionalFormatting sqref="K14:K18">
    <cfRule type="expression" dxfId="15494" priority="443">
      <formula>$C14=$E$3</formula>
    </cfRule>
    <cfRule type="expression" dxfId="15493" priority="444">
      <formula>$C14&lt;$E$3</formula>
    </cfRule>
    <cfRule type="cellIs" dxfId="15492" priority="445" operator="equal">
      <formula>0</formula>
    </cfRule>
    <cfRule type="expression" dxfId="15491" priority="446">
      <formula>$C14&gt;$E$3</formula>
    </cfRule>
  </conditionalFormatting>
  <conditionalFormatting sqref="K14:K18">
    <cfRule type="expression" dxfId="15490" priority="442">
      <formula>$C14&lt;$E$3</formula>
    </cfRule>
  </conditionalFormatting>
  <conditionalFormatting sqref="K14:K18">
    <cfRule type="expression" dxfId="15489" priority="438">
      <formula>$C14=$E$3</formula>
    </cfRule>
    <cfRule type="expression" dxfId="15488" priority="439">
      <formula>$C14&lt;$E$3</formula>
    </cfRule>
    <cfRule type="cellIs" dxfId="15487" priority="440" operator="equal">
      <formula>0</formula>
    </cfRule>
    <cfRule type="expression" dxfId="15486" priority="441">
      <formula>$C14&gt;$E$3</formula>
    </cfRule>
  </conditionalFormatting>
  <conditionalFormatting sqref="K14:K18">
    <cfRule type="expression" dxfId="15485" priority="437">
      <formula>$E14=""</formula>
    </cfRule>
  </conditionalFormatting>
  <conditionalFormatting sqref="K14:K18">
    <cfRule type="expression" dxfId="15484" priority="435">
      <formula>$E14=""</formula>
    </cfRule>
  </conditionalFormatting>
  <conditionalFormatting sqref="K14:K18">
    <cfRule type="expression" dxfId="15483" priority="434">
      <formula>$E14=""</formula>
    </cfRule>
  </conditionalFormatting>
  <conditionalFormatting sqref="K14:K18">
    <cfRule type="expression" dxfId="15482" priority="433">
      <formula>$C14&lt;$E$3</formula>
    </cfRule>
  </conditionalFormatting>
  <conditionalFormatting sqref="K14:K18">
    <cfRule type="expression" dxfId="15481" priority="432">
      <formula>$E14=""</formula>
    </cfRule>
  </conditionalFormatting>
  <conditionalFormatting sqref="K14:K18">
    <cfRule type="expression" dxfId="15480" priority="430">
      <formula>$E14=""</formula>
    </cfRule>
  </conditionalFormatting>
  <conditionalFormatting sqref="K14:K18">
    <cfRule type="expression" dxfId="15479" priority="429">
      <formula>$C14&lt;$E$3</formula>
    </cfRule>
  </conditionalFormatting>
  <conditionalFormatting sqref="K14:K18">
    <cfRule type="expression" dxfId="15478" priority="428">
      <formula>$E14=""</formula>
    </cfRule>
  </conditionalFormatting>
  <conditionalFormatting sqref="K14:K20">
    <cfRule type="expression" dxfId="15477" priority="426">
      <formula>$C14&lt;$E$3</formula>
    </cfRule>
  </conditionalFormatting>
  <conditionalFormatting sqref="K14:K20">
    <cfRule type="expression" dxfId="15476" priority="423">
      <formula>$C14=$E$3</formula>
    </cfRule>
    <cfRule type="expression" dxfId="15475" priority="424">
      <formula>$C14&lt;$E$3</formula>
    </cfRule>
    <cfRule type="cellIs" dxfId="15474" priority="425" operator="equal">
      <formula>0</formula>
    </cfRule>
    <cfRule type="expression" dxfId="15473" priority="427">
      <formula>$C14&gt;$E$3</formula>
    </cfRule>
  </conditionalFormatting>
  <conditionalFormatting sqref="K14:K20">
    <cfRule type="expression" dxfId="15472" priority="422">
      <formula>$E14=""</formula>
    </cfRule>
  </conditionalFormatting>
  <conditionalFormatting sqref="K14:K20">
    <cfRule type="expression" dxfId="15471" priority="420">
      <formula>$E14=""</formula>
    </cfRule>
  </conditionalFormatting>
  <conditionalFormatting sqref="K23:K29">
    <cfRule type="cellIs" dxfId="15470" priority="419" stopIfTrue="1" operator="lessThan">
      <formula>0</formula>
    </cfRule>
  </conditionalFormatting>
  <conditionalFormatting sqref="K23:K29">
    <cfRule type="expression" dxfId="15469" priority="417">
      <formula>$C23&lt;$E$3</formula>
    </cfRule>
  </conditionalFormatting>
  <conditionalFormatting sqref="K23:K29">
    <cfRule type="expression" dxfId="15468" priority="414">
      <formula>$C23=$E$3</formula>
    </cfRule>
    <cfRule type="expression" dxfId="15467" priority="415">
      <formula>$C23&lt;$E$3</formula>
    </cfRule>
    <cfRule type="cellIs" dxfId="15466" priority="416" operator="equal">
      <formula>0</formula>
    </cfRule>
    <cfRule type="expression" dxfId="15465" priority="418">
      <formula>$C23&gt;$E$3</formula>
    </cfRule>
  </conditionalFormatting>
  <conditionalFormatting sqref="K23:K29">
    <cfRule type="expression" dxfId="15464" priority="413">
      <formula>$E23=""</formula>
    </cfRule>
  </conditionalFormatting>
  <conditionalFormatting sqref="K23:K29">
    <cfRule type="expression" dxfId="15463" priority="412">
      <formula>$E23=""</formula>
    </cfRule>
  </conditionalFormatting>
  <conditionalFormatting sqref="K23:K29">
    <cfRule type="expression" dxfId="15462" priority="411">
      <formula>$E23=""</formula>
    </cfRule>
  </conditionalFormatting>
  <conditionalFormatting sqref="K28">
    <cfRule type="expression" dxfId="15461" priority="410">
      <formula>$C28&lt;$E$3</formula>
    </cfRule>
  </conditionalFormatting>
  <conditionalFormatting sqref="K28">
    <cfRule type="expression" dxfId="15460" priority="406">
      <formula>$C28=$E$3</formula>
    </cfRule>
    <cfRule type="expression" dxfId="15459" priority="407">
      <formula>$C28&lt;$E$3</formula>
    </cfRule>
    <cfRule type="cellIs" dxfId="15458" priority="408" operator="equal">
      <formula>0</formula>
    </cfRule>
    <cfRule type="expression" dxfId="15457" priority="409">
      <formula>$C28&gt;$E$3</formula>
    </cfRule>
  </conditionalFormatting>
  <conditionalFormatting sqref="K28">
    <cfRule type="expression" dxfId="15456" priority="405">
      <formula>$C28&lt;$E$3</formula>
    </cfRule>
  </conditionalFormatting>
  <conditionalFormatting sqref="K28">
    <cfRule type="expression" dxfId="15455" priority="401">
      <formula>$C28=$E$3</formula>
    </cfRule>
    <cfRule type="expression" dxfId="15454" priority="402">
      <formula>$C28&lt;$E$3</formula>
    </cfRule>
    <cfRule type="cellIs" dxfId="15453" priority="403" operator="equal">
      <formula>0</formula>
    </cfRule>
    <cfRule type="expression" dxfId="15452" priority="404">
      <formula>$C28&gt;$E$3</formula>
    </cfRule>
  </conditionalFormatting>
  <conditionalFormatting sqref="K28">
    <cfRule type="expression" dxfId="15451" priority="400">
      <formula>$C28&lt;$E$3</formula>
    </cfRule>
  </conditionalFormatting>
  <conditionalFormatting sqref="K28">
    <cfRule type="expression" dxfId="15450" priority="396">
      <formula>$C28=$E$3</formula>
    </cfRule>
    <cfRule type="expression" dxfId="15449" priority="397">
      <formula>$C28&lt;$E$3</formula>
    </cfRule>
    <cfRule type="cellIs" dxfId="15448" priority="398" operator="equal">
      <formula>0</formula>
    </cfRule>
    <cfRule type="expression" dxfId="15447" priority="399">
      <formula>$C28&gt;$E$3</formula>
    </cfRule>
  </conditionalFormatting>
  <conditionalFormatting sqref="K28">
    <cfRule type="expression" dxfId="15446" priority="395">
      <formula>$C28&lt;$E$3</formula>
    </cfRule>
  </conditionalFormatting>
  <conditionalFormatting sqref="K28">
    <cfRule type="expression" dxfId="15445" priority="391">
      <formula>$C28=$E$3</formula>
    </cfRule>
    <cfRule type="expression" dxfId="15444" priority="392">
      <formula>$C28&lt;$E$3</formula>
    </cfRule>
    <cfRule type="cellIs" dxfId="15443" priority="393" operator="equal">
      <formula>0</formula>
    </cfRule>
    <cfRule type="expression" dxfId="15442" priority="394">
      <formula>$C28&gt;$E$3</formula>
    </cfRule>
  </conditionalFormatting>
  <conditionalFormatting sqref="K28">
    <cfRule type="expression" dxfId="15441" priority="390">
      <formula>$E28=""</formula>
    </cfRule>
  </conditionalFormatting>
  <conditionalFormatting sqref="K28">
    <cfRule type="expression" dxfId="15440" priority="388">
      <formula>$E28=""</formula>
    </cfRule>
  </conditionalFormatting>
  <conditionalFormatting sqref="K28">
    <cfRule type="expression" dxfId="15439" priority="387">
      <formula>$E28=""</formula>
    </cfRule>
  </conditionalFormatting>
  <conditionalFormatting sqref="K28">
    <cfRule type="expression" dxfId="15438" priority="386">
      <formula>$C28&lt;$E$3</formula>
    </cfRule>
  </conditionalFormatting>
  <conditionalFormatting sqref="K28">
    <cfRule type="expression" dxfId="15437" priority="385">
      <formula>$E28=""</formula>
    </cfRule>
  </conditionalFormatting>
  <conditionalFormatting sqref="K28">
    <cfRule type="expression" dxfId="15436" priority="383">
      <formula>$E28=""</formula>
    </cfRule>
  </conditionalFormatting>
  <conditionalFormatting sqref="K28">
    <cfRule type="expression" dxfId="15435" priority="382">
      <formula>$C28&lt;$E$3</formula>
    </cfRule>
  </conditionalFormatting>
  <conditionalFormatting sqref="K28">
    <cfRule type="expression" dxfId="15434" priority="381">
      <formula>$E28=""</formula>
    </cfRule>
  </conditionalFormatting>
  <conditionalFormatting sqref="K28">
    <cfRule type="expression" dxfId="15433" priority="380">
      <formula>$C28&lt;$E$3</formula>
    </cfRule>
  </conditionalFormatting>
  <conditionalFormatting sqref="K28">
    <cfRule type="expression" dxfId="15432" priority="376">
      <formula>$C28=$E$3</formula>
    </cfRule>
    <cfRule type="expression" dxfId="15431" priority="377">
      <formula>$C28&lt;$E$3</formula>
    </cfRule>
    <cfRule type="cellIs" dxfId="15430" priority="378" operator="equal">
      <formula>0</formula>
    </cfRule>
    <cfRule type="expression" dxfId="15429" priority="379">
      <formula>$C28&gt;$E$3</formula>
    </cfRule>
  </conditionalFormatting>
  <conditionalFormatting sqref="K28">
    <cfRule type="expression" dxfId="15428" priority="371">
      <formula>$C28=$E$3</formula>
    </cfRule>
    <cfRule type="expression" dxfId="15427" priority="372">
      <formula>$C28&lt;$E$3</formula>
    </cfRule>
    <cfRule type="cellIs" dxfId="15426" priority="373" operator="equal">
      <formula>0</formula>
    </cfRule>
    <cfRule type="expression" dxfId="15425" priority="374">
      <formula>$C28&gt;$E$3</formula>
    </cfRule>
  </conditionalFormatting>
  <conditionalFormatting sqref="K28">
    <cfRule type="expression" dxfId="15424" priority="370">
      <formula>$C28&lt;$E$3</formula>
    </cfRule>
  </conditionalFormatting>
  <conditionalFormatting sqref="K28">
    <cfRule type="expression" dxfId="15423" priority="366">
      <formula>$C28=$E$3</formula>
    </cfRule>
    <cfRule type="expression" dxfId="15422" priority="367">
      <formula>$C28&lt;$E$3</formula>
    </cfRule>
    <cfRule type="cellIs" dxfId="15421" priority="368" operator="equal">
      <formula>0</formula>
    </cfRule>
    <cfRule type="expression" dxfId="15420" priority="369">
      <formula>$C28&gt;$E$3</formula>
    </cfRule>
  </conditionalFormatting>
  <conditionalFormatting sqref="K28">
    <cfRule type="expression" dxfId="15419" priority="365">
      <formula>$C28&lt;$E$3</formula>
    </cfRule>
  </conditionalFormatting>
  <conditionalFormatting sqref="K28">
    <cfRule type="expression" dxfId="15418" priority="361">
      <formula>$C28=$E$3</formula>
    </cfRule>
    <cfRule type="expression" dxfId="15417" priority="362">
      <formula>$C28&lt;$E$3</formula>
    </cfRule>
    <cfRule type="cellIs" dxfId="15416" priority="363" operator="equal">
      <formula>0</formula>
    </cfRule>
    <cfRule type="expression" dxfId="15415" priority="364">
      <formula>$C28&gt;$E$3</formula>
    </cfRule>
  </conditionalFormatting>
  <conditionalFormatting sqref="K28">
    <cfRule type="expression" dxfId="15414" priority="360">
      <formula>$E28=""</formula>
    </cfRule>
  </conditionalFormatting>
  <conditionalFormatting sqref="K28">
    <cfRule type="expression" dxfId="15413" priority="358">
      <formula>$E28=""</formula>
    </cfRule>
  </conditionalFormatting>
  <conditionalFormatting sqref="K28">
    <cfRule type="expression" dxfId="15412" priority="357">
      <formula>$E28=""</formula>
    </cfRule>
  </conditionalFormatting>
  <conditionalFormatting sqref="K28">
    <cfRule type="expression" dxfId="15411" priority="356">
      <formula>$C28&lt;$E$3</formula>
    </cfRule>
  </conditionalFormatting>
  <conditionalFormatting sqref="K28">
    <cfRule type="expression" dxfId="15410" priority="355">
      <formula>$E28=""</formula>
    </cfRule>
  </conditionalFormatting>
  <conditionalFormatting sqref="K28">
    <cfRule type="expression" dxfId="15409" priority="353">
      <formula>$E28=""</formula>
    </cfRule>
  </conditionalFormatting>
  <conditionalFormatting sqref="K28">
    <cfRule type="expression" dxfId="15408" priority="352">
      <formula>$C28&lt;$E$3</formula>
    </cfRule>
  </conditionalFormatting>
  <conditionalFormatting sqref="K28">
    <cfRule type="expression" dxfId="15407" priority="351">
      <formula>$E28=""</formula>
    </cfRule>
  </conditionalFormatting>
  <conditionalFormatting sqref="K23:K27">
    <cfRule type="expression" dxfId="15406" priority="350">
      <formula>$C23&lt;$E$3</formula>
    </cfRule>
  </conditionalFormatting>
  <conditionalFormatting sqref="K23:K27">
    <cfRule type="expression" dxfId="15405" priority="346">
      <formula>$C23=$E$3</formula>
    </cfRule>
    <cfRule type="expression" dxfId="15404" priority="347">
      <formula>$C23&lt;$E$3</formula>
    </cfRule>
    <cfRule type="cellIs" dxfId="15403" priority="348" operator="equal">
      <formula>0</formula>
    </cfRule>
    <cfRule type="expression" dxfId="15402" priority="349">
      <formula>$C23&gt;$E$3</formula>
    </cfRule>
  </conditionalFormatting>
  <conditionalFormatting sqref="K23:K27">
    <cfRule type="expression" dxfId="15401" priority="341">
      <formula>$C23=$E$3</formula>
    </cfRule>
    <cfRule type="expression" dxfId="15400" priority="342">
      <formula>$C23&lt;$E$3</formula>
    </cfRule>
    <cfRule type="cellIs" dxfId="15399" priority="343" operator="equal">
      <formula>0</formula>
    </cfRule>
    <cfRule type="expression" dxfId="15398" priority="344">
      <formula>$C23&gt;$E$3</formula>
    </cfRule>
  </conditionalFormatting>
  <conditionalFormatting sqref="K23:K27">
    <cfRule type="expression" dxfId="15397" priority="340">
      <formula>$C23&lt;$E$3</formula>
    </cfRule>
  </conditionalFormatting>
  <conditionalFormatting sqref="K23:K27">
    <cfRule type="expression" dxfId="15396" priority="336">
      <formula>$C23=$E$3</formula>
    </cfRule>
    <cfRule type="expression" dxfId="15395" priority="337">
      <formula>$C23&lt;$E$3</formula>
    </cfRule>
    <cfRule type="cellIs" dxfId="15394" priority="338" operator="equal">
      <formula>0</formula>
    </cfRule>
    <cfRule type="expression" dxfId="15393" priority="339">
      <formula>$C23&gt;$E$3</formula>
    </cfRule>
  </conditionalFormatting>
  <conditionalFormatting sqref="K23:K27">
    <cfRule type="expression" dxfId="15392" priority="335">
      <formula>$C23&lt;$E$3</formula>
    </cfRule>
  </conditionalFormatting>
  <conditionalFormatting sqref="K23:K27">
    <cfRule type="expression" dxfId="15391" priority="331">
      <formula>$C23=$E$3</formula>
    </cfRule>
    <cfRule type="expression" dxfId="15390" priority="332">
      <formula>$C23&lt;$E$3</formula>
    </cfRule>
    <cfRule type="cellIs" dxfId="15389" priority="333" operator="equal">
      <formula>0</formula>
    </cfRule>
    <cfRule type="expression" dxfId="15388" priority="334">
      <formula>$C23&gt;$E$3</formula>
    </cfRule>
  </conditionalFormatting>
  <conditionalFormatting sqref="K23:K27">
    <cfRule type="expression" dxfId="15387" priority="330">
      <formula>$E23=""</formula>
    </cfRule>
  </conditionalFormatting>
  <conditionalFormatting sqref="K23:K27">
    <cfRule type="expression" dxfId="15386" priority="328">
      <formula>$E23=""</formula>
    </cfRule>
  </conditionalFormatting>
  <conditionalFormatting sqref="K23:K27">
    <cfRule type="expression" dxfId="15385" priority="327">
      <formula>$E23=""</formula>
    </cfRule>
  </conditionalFormatting>
  <conditionalFormatting sqref="K23:K27">
    <cfRule type="expression" dxfId="15384" priority="326">
      <formula>$C23&lt;$E$3</formula>
    </cfRule>
  </conditionalFormatting>
  <conditionalFormatting sqref="K23:K27">
    <cfRule type="expression" dxfId="15383" priority="325">
      <formula>$E23=""</formula>
    </cfRule>
  </conditionalFormatting>
  <conditionalFormatting sqref="K23:K27">
    <cfRule type="expression" dxfId="15382" priority="323">
      <formula>$E23=""</formula>
    </cfRule>
  </conditionalFormatting>
  <conditionalFormatting sqref="K23:K27">
    <cfRule type="expression" dxfId="15381" priority="322">
      <formula>$C23&lt;$E$3</formula>
    </cfRule>
  </conditionalFormatting>
  <conditionalFormatting sqref="K23:K27">
    <cfRule type="expression" dxfId="15380" priority="321">
      <formula>$E23=""</formula>
    </cfRule>
  </conditionalFormatting>
  <conditionalFormatting sqref="K23:K27">
    <cfRule type="expression" dxfId="15379" priority="320">
      <formula>$C23&lt;$E$3</formula>
    </cfRule>
  </conditionalFormatting>
  <conditionalFormatting sqref="K23:K27">
    <cfRule type="expression" dxfId="15378" priority="316">
      <formula>$C23=$E$3</formula>
    </cfRule>
    <cfRule type="expression" dxfId="15377" priority="317">
      <formula>$C23&lt;$E$3</formula>
    </cfRule>
    <cfRule type="cellIs" dxfId="15376" priority="318" operator="equal">
      <formula>0</formula>
    </cfRule>
    <cfRule type="expression" dxfId="15375" priority="319">
      <formula>$C23&gt;$E$3</formula>
    </cfRule>
  </conditionalFormatting>
  <conditionalFormatting sqref="K23:K27">
    <cfRule type="expression" dxfId="15374" priority="311">
      <formula>$C23=$E$3</formula>
    </cfRule>
    <cfRule type="expression" dxfId="15373" priority="312">
      <formula>$C23&lt;$E$3</formula>
    </cfRule>
    <cfRule type="cellIs" dxfId="15372" priority="313" operator="equal">
      <formula>0</formula>
    </cfRule>
    <cfRule type="expression" dxfId="15371" priority="314">
      <formula>$C23&gt;$E$3</formula>
    </cfRule>
  </conditionalFormatting>
  <conditionalFormatting sqref="K23:K27">
    <cfRule type="expression" dxfId="15370" priority="310">
      <formula>$C23&lt;$E$3</formula>
    </cfRule>
  </conditionalFormatting>
  <conditionalFormatting sqref="K23:K27">
    <cfRule type="expression" dxfId="15369" priority="306">
      <formula>$C23=$E$3</formula>
    </cfRule>
    <cfRule type="expression" dxfId="15368" priority="307">
      <formula>$C23&lt;$E$3</formula>
    </cfRule>
    <cfRule type="cellIs" dxfId="15367" priority="308" operator="equal">
      <formula>0</formula>
    </cfRule>
    <cfRule type="expression" dxfId="15366" priority="309">
      <formula>$C23&gt;$E$3</formula>
    </cfRule>
  </conditionalFormatting>
  <conditionalFormatting sqref="K23:K27">
    <cfRule type="expression" dxfId="15365" priority="305">
      <formula>$C23&lt;$E$3</formula>
    </cfRule>
  </conditionalFormatting>
  <conditionalFormatting sqref="K23:K27">
    <cfRule type="expression" dxfId="15364" priority="301">
      <formula>$C23=$E$3</formula>
    </cfRule>
    <cfRule type="expression" dxfId="15363" priority="302">
      <formula>$C23&lt;$E$3</formula>
    </cfRule>
    <cfRule type="cellIs" dxfId="15362" priority="303" operator="equal">
      <formula>0</formula>
    </cfRule>
    <cfRule type="expression" dxfId="15361" priority="304">
      <formula>$C23&gt;$E$3</formula>
    </cfRule>
  </conditionalFormatting>
  <conditionalFormatting sqref="K23:K27">
    <cfRule type="expression" dxfId="15360" priority="300">
      <formula>$E23=""</formula>
    </cfRule>
  </conditionalFormatting>
  <conditionalFormatting sqref="K23:K27">
    <cfRule type="expression" dxfId="15359" priority="298">
      <formula>$E23=""</formula>
    </cfRule>
  </conditionalFormatting>
  <conditionalFormatting sqref="K23:K27">
    <cfRule type="expression" dxfId="15358" priority="297">
      <formula>$E23=""</formula>
    </cfRule>
  </conditionalFormatting>
  <conditionalFormatting sqref="K23:K27">
    <cfRule type="expression" dxfId="15357" priority="296">
      <formula>$C23&lt;$E$3</formula>
    </cfRule>
  </conditionalFormatting>
  <conditionalFormatting sqref="K23:K27">
    <cfRule type="expression" dxfId="15356" priority="295">
      <formula>$E23=""</formula>
    </cfRule>
  </conditionalFormatting>
  <conditionalFormatting sqref="K23:K27">
    <cfRule type="expression" dxfId="15355" priority="293">
      <formula>$E23=""</formula>
    </cfRule>
  </conditionalFormatting>
  <conditionalFormatting sqref="K23:K27">
    <cfRule type="expression" dxfId="15354" priority="292">
      <formula>$C23&lt;$E$3</formula>
    </cfRule>
  </conditionalFormatting>
  <conditionalFormatting sqref="K23:K27">
    <cfRule type="expression" dxfId="15353" priority="291">
      <formula>$E23=""</formula>
    </cfRule>
  </conditionalFormatting>
  <conditionalFormatting sqref="K23:K29">
    <cfRule type="expression" dxfId="15352" priority="289">
      <formula>$C23&lt;$E$3</formula>
    </cfRule>
  </conditionalFormatting>
  <conditionalFormatting sqref="K23:K29">
    <cfRule type="expression" dxfId="15351" priority="286">
      <formula>$C23=$E$3</formula>
    </cfRule>
    <cfRule type="expression" dxfId="15350" priority="287">
      <formula>$C23&lt;$E$3</formula>
    </cfRule>
    <cfRule type="cellIs" dxfId="15349" priority="288" operator="equal">
      <formula>0</formula>
    </cfRule>
    <cfRule type="expression" dxfId="15348" priority="290">
      <formula>$C23&gt;$E$3</formula>
    </cfRule>
  </conditionalFormatting>
  <conditionalFormatting sqref="K23:K29">
    <cfRule type="expression" dxfId="15347" priority="285">
      <formula>$E23=""</formula>
    </cfRule>
  </conditionalFormatting>
  <conditionalFormatting sqref="K23:K29">
    <cfRule type="expression" dxfId="15346" priority="283">
      <formula>$E23=""</formula>
    </cfRule>
  </conditionalFormatting>
  <conditionalFormatting sqref="K32:K38">
    <cfRule type="cellIs" dxfId="15345" priority="282" stopIfTrue="1" operator="lessThan">
      <formula>0</formula>
    </cfRule>
  </conditionalFormatting>
  <conditionalFormatting sqref="K32:K38">
    <cfRule type="expression" dxfId="15344" priority="280">
      <formula>$C32&lt;$E$3</formula>
    </cfRule>
  </conditionalFormatting>
  <conditionalFormatting sqref="K32:K38">
    <cfRule type="expression" dxfId="15343" priority="277">
      <formula>$C32=$E$3</formula>
    </cfRule>
    <cfRule type="expression" dxfId="15342" priority="278">
      <formula>$C32&lt;$E$3</formula>
    </cfRule>
    <cfRule type="cellIs" dxfId="15341" priority="279" operator="equal">
      <formula>0</formula>
    </cfRule>
    <cfRule type="expression" dxfId="15340" priority="281">
      <formula>$C32&gt;$E$3</formula>
    </cfRule>
  </conditionalFormatting>
  <conditionalFormatting sqref="K32:K38">
    <cfRule type="expression" dxfId="15339" priority="276">
      <formula>$E32=""</formula>
    </cfRule>
  </conditionalFormatting>
  <conditionalFormatting sqref="K32:K38">
    <cfRule type="expression" dxfId="15338" priority="275">
      <formula>$E32=""</formula>
    </cfRule>
  </conditionalFormatting>
  <conditionalFormatting sqref="K32:K38">
    <cfRule type="expression" dxfId="15337" priority="274">
      <formula>$E32=""</formula>
    </cfRule>
  </conditionalFormatting>
  <conditionalFormatting sqref="K37">
    <cfRule type="expression" dxfId="15336" priority="273">
      <formula>$C37&lt;$E$3</formula>
    </cfRule>
  </conditionalFormatting>
  <conditionalFormatting sqref="K37">
    <cfRule type="expression" dxfId="15335" priority="269">
      <formula>$C37=$E$3</formula>
    </cfRule>
    <cfRule type="expression" dxfId="15334" priority="270">
      <formula>$C37&lt;$E$3</formula>
    </cfRule>
    <cfRule type="cellIs" dxfId="15333" priority="271" operator="equal">
      <formula>0</formula>
    </cfRule>
    <cfRule type="expression" dxfId="15332" priority="272">
      <formula>$C37&gt;$E$3</formula>
    </cfRule>
  </conditionalFormatting>
  <conditionalFormatting sqref="K37">
    <cfRule type="expression" dxfId="15331" priority="268">
      <formula>$C37&lt;$E$3</formula>
    </cfRule>
  </conditionalFormatting>
  <conditionalFormatting sqref="K37">
    <cfRule type="expression" dxfId="15330" priority="264">
      <formula>$C37=$E$3</formula>
    </cfRule>
    <cfRule type="expression" dxfId="15329" priority="265">
      <formula>$C37&lt;$E$3</formula>
    </cfRule>
    <cfRule type="cellIs" dxfId="15328" priority="266" operator="equal">
      <formula>0</formula>
    </cfRule>
    <cfRule type="expression" dxfId="15327" priority="267">
      <formula>$C37&gt;$E$3</formula>
    </cfRule>
  </conditionalFormatting>
  <conditionalFormatting sqref="K37">
    <cfRule type="expression" dxfId="15326" priority="253">
      <formula>$E37=""</formula>
    </cfRule>
  </conditionalFormatting>
  <conditionalFormatting sqref="K37">
    <cfRule type="expression" dxfId="15325" priority="252">
      <formula>$C37&lt;$E$3</formula>
    </cfRule>
  </conditionalFormatting>
  <conditionalFormatting sqref="K37">
    <cfRule type="expression" dxfId="15324" priority="251">
      <formula>$E37=""</formula>
    </cfRule>
  </conditionalFormatting>
  <conditionalFormatting sqref="K37">
    <cfRule type="expression" dxfId="15323" priority="250">
      <formula>$E37=""</formula>
    </cfRule>
  </conditionalFormatting>
  <conditionalFormatting sqref="K37">
    <cfRule type="expression" dxfId="15322" priority="249">
      <formula>$C37&lt;$E$3</formula>
    </cfRule>
  </conditionalFormatting>
  <conditionalFormatting sqref="K37">
    <cfRule type="expression" dxfId="15321" priority="248">
      <formula>$E37=""</formula>
    </cfRule>
  </conditionalFormatting>
  <conditionalFormatting sqref="K37">
    <cfRule type="expression" dxfId="15320" priority="247">
      <formula>$C37&lt;$E$3</formula>
    </cfRule>
  </conditionalFormatting>
  <conditionalFormatting sqref="K37">
    <cfRule type="expression" dxfId="15319" priority="246">
      <formula>$E37=""</formula>
    </cfRule>
  </conditionalFormatting>
  <conditionalFormatting sqref="K37">
    <cfRule type="expression" dxfId="15318" priority="245">
      <formula>$C37&lt;$E$3</formula>
    </cfRule>
  </conditionalFormatting>
  <conditionalFormatting sqref="K37">
    <cfRule type="expression" dxfId="15317" priority="244">
      <formula>$E37=""</formula>
    </cfRule>
  </conditionalFormatting>
  <conditionalFormatting sqref="K37">
    <cfRule type="expression" dxfId="15316" priority="238">
      <formula>$C37&lt;$E$3</formula>
    </cfRule>
  </conditionalFormatting>
  <conditionalFormatting sqref="K37">
    <cfRule type="expression" dxfId="15315" priority="234">
      <formula>$C37=$E$3</formula>
    </cfRule>
    <cfRule type="expression" dxfId="15314" priority="235">
      <formula>$C37&lt;$E$3</formula>
    </cfRule>
    <cfRule type="cellIs" dxfId="15313" priority="236" operator="equal">
      <formula>0</formula>
    </cfRule>
    <cfRule type="expression" dxfId="15312" priority="237">
      <formula>$C37&gt;$E$3</formula>
    </cfRule>
  </conditionalFormatting>
  <conditionalFormatting sqref="K37">
    <cfRule type="expression" dxfId="15311" priority="223">
      <formula>$E37=""</formula>
    </cfRule>
  </conditionalFormatting>
  <conditionalFormatting sqref="K37">
    <cfRule type="expression" dxfId="15310" priority="222">
      <formula>$C37&lt;$E$3</formula>
    </cfRule>
  </conditionalFormatting>
  <conditionalFormatting sqref="K37">
    <cfRule type="expression" dxfId="15309" priority="221">
      <formula>$E37=""</formula>
    </cfRule>
  </conditionalFormatting>
  <conditionalFormatting sqref="K37">
    <cfRule type="expression" dxfId="15308" priority="220">
      <formula>$E37=""</formula>
    </cfRule>
  </conditionalFormatting>
  <conditionalFormatting sqref="K37">
    <cfRule type="expression" dxfId="15307" priority="219">
      <formula>$C37&lt;$E$3</formula>
    </cfRule>
  </conditionalFormatting>
  <conditionalFormatting sqref="K37">
    <cfRule type="expression" dxfId="15306" priority="218">
      <formula>$E37=""</formula>
    </cfRule>
  </conditionalFormatting>
  <conditionalFormatting sqref="K37">
    <cfRule type="expression" dxfId="15305" priority="217">
      <formula>$C37&lt;$E$3</formula>
    </cfRule>
  </conditionalFormatting>
  <conditionalFormatting sqref="K37">
    <cfRule type="expression" dxfId="15304" priority="216">
      <formula>$E37=""</formula>
    </cfRule>
  </conditionalFormatting>
  <conditionalFormatting sqref="K37">
    <cfRule type="expression" dxfId="15303" priority="215">
      <formula>$C37&lt;$E$3</formula>
    </cfRule>
  </conditionalFormatting>
  <conditionalFormatting sqref="K37">
    <cfRule type="expression" dxfId="15302" priority="214">
      <formula>$E37=""</formula>
    </cfRule>
  </conditionalFormatting>
  <conditionalFormatting sqref="K32:K36">
    <cfRule type="expression" dxfId="15301" priority="208">
      <formula>$C32&lt;$E$3</formula>
    </cfRule>
  </conditionalFormatting>
  <conditionalFormatting sqref="K32:K36">
    <cfRule type="expression" dxfId="15300" priority="204">
      <formula>$C32=$E$3</formula>
    </cfRule>
    <cfRule type="expression" dxfId="15299" priority="205">
      <formula>$C32&lt;$E$3</formula>
    </cfRule>
    <cfRule type="cellIs" dxfId="15298" priority="206" operator="equal">
      <formula>0</formula>
    </cfRule>
    <cfRule type="expression" dxfId="15297" priority="207">
      <formula>$C32&gt;$E$3</formula>
    </cfRule>
  </conditionalFormatting>
  <conditionalFormatting sqref="K32:K36">
    <cfRule type="expression" dxfId="15296" priority="192">
      <formula>$C32&lt;$E$3</formula>
    </cfRule>
  </conditionalFormatting>
  <conditionalFormatting sqref="K32:K36">
    <cfRule type="expression" dxfId="15295" priority="191">
      <formula>$E32=""</formula>
    </cfRule>
  </conditionalFormatting>
  <conditionalFormatting sqref="K32:K36">
    <cfRule type="expression" dxfId="15294" priority="190">
      <formula>$E32=""</formula>
    </cfRule>
  </conditionalFormatting>
  <conditionalFormatting sqref="K32:K36">
    <cfRule type="expression" dxfId="15293" priority="188">
      <formula>$E32=""</formula>
    </cfRule>
  </conditionalFormatting>
  <conditionalFormatting sqref="K32:K36">
    <cfRule type="expression" dxfId="15292" priority="187">
      <formula>$C32&lt;$E$3</formula>
    </cfRule>
  </conditionalFormatting>
  <conditionalFormatting sqref="K32:K36">
    <cfRule type="expression" dxfId="15291" priority="186">
      <formula>$E32=""</formula>
    </cfRule>
  </conditionalFormatting>
  <conditionalFormatting sqref="K32:K36">
    <cfRule type="expression" dxfId="15290" priority="185">
      <formula>$C32&lt;$E$3</formula>
    </cfRule>
  </conditionalFormatting>
  <conditionalFormatting sqref="K32:K36">
    <cfRule type="expression" dxfId="15289" priority="184">
      <formula>$E32=""</formula>
    </cfRule>
  </conditionalFormatting>
  <conditionalFormatting sqref="K32:K36">
    <cfRule type="expression" dxfId="15288" priority="183">
      <formula>$C32&lt;$E$3</formula>
    </cfRule>
  </conditionalFormatting>
  <conditionalFormatting sqref="K32:K36">
    <cfRule type="expression" dxfId="15287" priority="179">
      <formula>$C32=$E$3</formula>
    </cfRule>
    <cfRule type="expression" dxfId="15286" priority="180">
      <formula>$C32&lt;$E$3</formula>
    </cfRule>
    <cfRule type="cellIs" dxfId="15285" priority="181" operator="equal">
      <formula>0</formula>
    </cfRule>
    <cfRule type="expression" dxfId="15284" priority="182">
      <formula>$C32&gt;$E$3</formula>
    </cfRule>
  </conditionalFormatting>
  <conditionalFormatting sqref="K32:K36">
    <cfRule type="expression" dxfId="15283" priority="178">
      <formula>$C32&lt;$E$3</formula>
    </cfRule>
  </conditionalFormatting>
  <conditionalFormatting sqref="K32:K36">
    <cfRule type="expression" dxfId="15282" priority="174">
      <formula>$C32=$E$3</formula>
    </cfRule>
    <cfRule type="expression" dxfId="15281" priority="175">
      <formula>$C32&lt;$E$3</formula>
    </cfRule>
    <cfRule type="cellIs" dxfId="15280" priority="176" operator="equal">
      <formula>0</formula>
    </cfRule>
    <cfRule type="expression" dxfId="15279" priority="177">
      <formula>$C32&gt;$E$3</formula>
    </cfRule>
  </conditionalFormatting>
  <conditionalFormatting sqref="K32:K36">
    <cfRule type="expression" dxfId="15278" priority="173">
      <formula>$C32&lt;$E$3</formula>
    </cfRule>
  </conditionalFormatting>
  <conditionalFormatting sqref="K32:K36">
    <cfRule type="expression" dxfId="15277" priority="169">
      <formula>$C32=$E$3</formula>
    </cfRule>
    <cfRule type="expression" dxfId="15276" priority="170">
      <formula>$C32&lt;$E$3</formula>
    </cfRule>
    <cfRule type="cellIs" dxfId="15275" priority="171" operator="equal">
      <formula>0</formula>
    </cfRule>
    <cfRule type="expression" dxfId="15274" priority="172">
      <formula>$C32&gt;$E$3</formula>
    </cfRule>
  </conditionalFormatting>
  <conditionalFormatting sqref="K32:K36">
    <cfRule type="expression" dxfId="15273" priority="168">
      <formula>$C32&lt;$E$3</formula>
    </cfRule>
  </conditionalFormatting>
  <conditionalFormatting sqref="K32:K36">
    <cfRule type="expression" dxfId="15272" priority="164">
      <formula>$C32=$E$3</formula>
    </cfRule>
    <cfRule type="expression" dxfId="15271" priority="165">
      <formula>$C32&lt;$E$3</formula>
    </cfRule>
    <cfRule type="cellIs" dxfId="15270" priority="166" operator="equal">
      <formula>0</formula>
    </cfRule>
    <cfRule type="expression" dxfId="15269" priority="167">
      <formula>$C32&gt;$E$3</formula>
    </cfRule>
  </conditionalFormatting>
  <conditionalFormatting sqref="K32:K36">
    <cfRule type="expression" dxfId="15268" priority="163">
      <formula>$E32=""</formula>
    </cfRule>
  </conditionalFormatting>
  <conditionalFormatting sqref="K32:K36">
    <cfRule type="expression" dxfId="15267" priority="162">
      <formula>$C32&lt;$E$3</formula>
    </cfRule>
  </conditionalFormatting>
  <conditionalFormatting sqref="K32:K36">
    <cfRule type="expression" dxfId="15266" priority="161">
      <formula>$E32=""</formula>
    </cfRule>
  </conditionalFormatting>
  <conditionalFormatting sqref="K32:K36">
    <cfRule type="expression" dxfId="15265" priority="160">
      <formula>$E32=""</formula>
    </cfRule>
  </conditionalFormatting>
  <conditionalFormatting sqref="K32:K36">
    <cfRule type="expression" dxfId="15264" priority="159">
      <formula>$C32&lt;$E$3</formula>
    </cfRule>
  </conditionalFormatting>
  <conditionalFormatting sqref="K32:K36">
    <cfRule type="expression" dxfId="15263" priority="158">
      <formula>$E32=""</formula>
    </cfRule>
  </conditionalFormatting>
  <conditionalFormatting sqref="K32:K36">
    <cfRule type="expression" dxfId="15262" priority="157">
      <formula>$C32&lt;$E$3</formula>
    </cfRule>
  </conditionalFormatting>
  <conditionalFormatting sqref="K32:K36">
    <cfRule type="expression" dxfId="15261" priority="156">
      <formula>$E32=""</formula>
    </cfRule>
  </conditionalFormatting>
  <conditionalFormatting sqref="K32:K36">
    <cfRule type="expression" dxfId="15260" priority="155">
      <formula>$C32&lt;$E$3</formula>
    </cfRule>
  </conditionalFormatting>
  <conditionalFormatting sqref="K32:K36">
    <cfRule type="expression" dxfId="15259" priority="154">
      <formula>$E32=""</formula>
    </cfRule>
  </conditionalFormatting>
  <conditionalFormatting sqref="K32:K38">
    <cfRule type="expression" dxfId="15258" priority="152">
      <formula>$C32&lt;$E$3</formula>
    </cfRule>
  </conditionalFormatting>
  <conditionalFormatting sqref="K32:K38">
    <cfRule type="expression" dxfId="15257" priority="149">
      <formula>$C32=$E$3</formula>
    </cfRule>
    <cfRule type="expression" dxfId="15256" priority="150">
      <formula>$C32&lt;$E$3</formula>
    </cfRule>
    <cfRule type="cellIs" dxfId="15255" priority="151" operator="equal">
      <formula>0</formula>
    </cfRule>
    <cfRule type="expression" dxfId="15254" priority="153">
      <formula>$C32&gt;$E$3</formula>
    </cfRule>
  </conditionalFormatting>
  <conditionalFormatting sqref="K32:K38">
    <cfRule type="expression" dxfId="15253" priority="148">
      <formula>$E32=""</formula>
    </cfRule>
  </conditionalFormatting>
  <conditionalFormatting sqref="K32:K38">
    <cfRule type="expression" dxfId="15252" priority="147">
      <formula>$E32=""</formula>
    </cfRule>
  </conditionalFormatting>
  <conditionalFormatting sqref="K32:K38">
    <cfRule type="expression" dxfId="15251" priority="146">
      <formula>$E32=""</formula>
    </cfRule>
  </conditionalFormatting>
  <conditionalFormatting sqref="K41:K47">
    <cfRule type="cellIs" dxfId="15250" priority="145" stopIfTrue="1" operator="lessThan">
      <formula>0</formula>
    </cfRule>
  </conditionalFormatting>
  <conditionalFormatting sqref="K41:K47">
    <cfRule type="expression" dxfId="15249" priority="143">
      <formula>$C41&lt;$E$3</formula>
    </cfRule>
  </conditionalFormatting>
  <conditionalFormatting sqref="K41:K47">
    <cfRule type="expression" dxfId="15248" priority="140">
      <formula>$C41=$E$3</formula>
    </cfRule>
    <cfRule type="expression" dxfId="15247" priority="141">
      <formula>$C41&lt;$E$3</formula>
    </cfRule>
    <cfRule type="cellIs" dxfId="15246" priority="142" operator="equal">
      <formula>0</formula>
    </cfRule>
    <cfRule type="expression" dxfId="15245" priority="144">
      <formula>$C41&gt;$E$3</formula>
    </cfRule>
  </conditionalFormatting>
  <conditionalFormatting sqref="K41:K47">
    <cfRule type="expression" dxfId="15244" priority="139">
      <formula>$E41=""</formula>
    </cfRule>
  </conditionalFormatting>
  <conditionalFormatting sqref="K41:K47">
    <cfRule type="expression" dxfId="15243" priority="138">
      <formula>$E41=""</formula>
    </cfRule>
  </conditionalFormatting>
  <conditionalFormatting sqref="K41:K47">
    <cfRule type="expression" dxfId="15242" priority="137">
      <formula>$E41=""</formula>
    </cfRule>
  </conditionalFormatting>
  <conditionalFormatting sqref="K46">
    <cfRule type="expression" dxfId="15241" priority="136">
      <formula>$C46&lt;$E$3</formula>
    </cfRule>
  </conditionalFormatting>
  <conditionalFormatting sqref="K46">
    <cfRule type="expression" dxfId="15240" priority="132">
      <formula>$C46=$E$3</formula>
    </cfRule>
    <cfRule type="expression" dxfId="15239" priority="133">
      <formula>$C46&lt;$E$3</formula>
    </cfRule>
    <cfRule type="cellIs" dxfId="15238" priority="134" operator="equal">
      <formula>0</formula>
    </cfRule>
    <cfRule type="expression" dxfId="15237" priority="135">
      <formula>$C46&gt;$E$3</formula>
    </cfRule>
  </conditionalFormatting>
  <conditionalFormatting sqref="K46">
    <cfRule type="expression" dxfId="15236" priority="131">
      <formula>$C46&lt;$E$3</formula>
    </cfRule>
  </conditionalFormatting>
  <conditionalFormatting sqref="K46">
    <cfRule type="expression" dxfId="15235" priority="127">
      <formula>$C46=$E$3</formula>
    </cfRule>
    <cfRule type="expression" dxfId="15234" priority="128">
      <formula>$C46&lt;$E$3</formula>
    </cfRule>
    <cfRule type="cellIs" dxfId="15233" priority="129" operator="equal">
      <formula>0</formula>
    </cfRule>
    <cfRule type="expression" dxfId="15232" priority="130">
      <formula>$C46&gt;$E$3</formula>
    </cfRule>
  </conditionalFormatting>
  <conditionalFormatting sqref="K46">
    <cfRule type="expression" dxfId="15231" priority="126">
      <formula>$C46&lt;$E$3</formula>
    </cfRule>
  </conditionalFormatting>
  <conditionalFormatting sqref="K46">
    <cfRule type="expression" dxfId="15230" priority="122">
      <formula>$C46=$E$3</formula>
    </cfRule>
    <cfRule type="expression" dxfId="15229" priority="123">
      <formula>$C46&lt;$E$3</formula>
    </cfRule>
    <cfRule type="cellIs" dxfId="15228" priority="124" operator="equal">
      <formula>0</formula>
    </cfRule>
    <cfRule type="expression" dxfId="15227" priority="125">
      <formula>$C46&gt;$E$3</formula>
    </cfRule>
  </conditionalFormatting>
  <conditionalFormatting sqref="K46">
    <cfRule type="expression" dxfId="15226" priority="121">
      <formula>$C46&lt;$E$3</formula>
    </cfRule>
  </conditionalFormatting>
  <conditionalFormatting sqref="K46">
    <cfRule type="expression" dxfId="15225" priority="117">
      <formula>$C46=$E$3</formula>
    </cfRule>
    <cfRule type="expression" dxfId="15224" priority="118">
      <formula>$C46&lt;$E$3</formula>
    </cfRule>
    <cfRule type="cellIs" dxfId="15223" priority="119" operator="equal">
      <formula>0</formula>
    </cfRule>
    <cfRule type="expression" dxfId="15222" priority="120">
      <formula>$C46&gt;$E$3</formula>
    </cfRule>
  </conditionalFormatting>
  <conditionalFormatting sqref="K46">
    <cfRule type="expression" dxfId="15221" priority="116">
      <formula>$E46=""</formula>
    </cfRule>
  </conditionalFormatting>
  <conditionalFormatting sqref="K46">
    <cfRule type="expression" dxfId="15220" priority="115">
      <formula>$C46&lt;$E$3</formula>
    </cfRule>
  </conditionalFormatting>
  <conditionalFormatting sqref="K46">
    <cfRule type="expression" dxfId="15219" priority="114">
      <formula>$E46=""</formula>
    </cfRule>
  </conditionalFormatting>
  <conditionalFormatting sqref="K46">
    <cfRule type="expression" dxfId="15218" priority="113">
      <formula>$E46=""</formula>
    </cfRule>
  </conditionalFormatting>
  <conditionalFormatting sqref="K46">
    <cfRule type="expression" dxfId="15217" priority="112">
      <formula>$C46&lt;$E$3</formula>
    </cfRule>
  </conditionalFormatting>
  <conditionalFormatting sqref="K46">
    <cfRule type="expression" dxfId="15216" priority="111">
      <formula>$E46=""</formula>
    </cfRule>
  </conditionalFormatting>
  <conditionalFormatting sqref="K46">
    <cfRule type="expression" dxfId="15215" priority="110">
      <formula>$C46&lt;$E$3</formula>
    </cfRule>
  </conditionalFormatting>
  <conditionalFormatting sqref="K46">
    <cfRule type="expression" dxfId="15214" priority="109">
      <formula>$E46=""</formula>
    </cfRule>
  </conditionalFormatting>
  <conditionalFormatting sqref="K46">
    <cfRule type="expression" dxfId="15213" priority="108">
      <formula>$C46&lt;$E$3</formula>
    </cfRule>
  </conditionalFormatting>
  <conditionalFormatting sqref="K46">
    <cfRule type="expression" dxfId="15212" priority="107">
      <formula>$E46=""</formula>
    </cfRule>
  </conditionalFormatting>
  <conditionalFormatting sqref="K46">
    <cfRule type="expression" dxfId="15211" priority="106">
      <formula>$C46&lt;$E$3</formula>
    </cfRule>
  </conditionalFormatting>
  <conditionalFormatting sqref="K46">
    <cfRule type="expression" dxfId="15210" priority="102">
      <formula>$C46=$E$3</formula>
    </cfRule>
    <cfRule type="expression" dxfId="15209" priority="103">
      <formula>$C46&lt;$E$3</formula>
    </cfRule>
    <cfRule type="cellIs" dxfId="15208" priority="104" operator="equal">
      <formula>0</formula>
    </cfRule>
    <cfRule type="expression" dxfId="15207" priority="105">
      <formula>$C46&gt;$E$3</formula>
    </cfRule>
  </conditionalFormatting>
  <conditionalFormatting sqref="K46">
    <cfRule type="expression" dxfId="15206" priority="101">
      <formula>$C46&lt;$E$3</formula>
    </cfRule>
  </conditionalFormatting>
  <conditionalFormatting sqref="K46">
    <cfRule type="expression" dxfId="15205" priority="97">
      <formula>$C46=$E$3</formula>
    </cfRule>
    <cfRule type="expression" dxfId="15204" priority="98">
      <formula>$C46&lt;$E$3</formula>
    </cfRule>
    <cfRule type="cellIs" dxfId="15203" priority="99" operator="equal">
      <formula>0</formula>
    </cfRule>
    <cfRule type="expression" dxfId="15202" priority="100">
      <formula>$C46&gt;$E$3</formula>
    </cfRule>
  </conditionalFormatting>
  <conditionalFormatting sqref="K46">
    <cfRule type="expression" dxfId="15201" priority="96">
      <formula>$C46&lt;$E$3</formula>
    </cfRule>
  </conditionalFormatting>
  <conditionalFormatting sqref="K46">
    <cfRule type="expression" dxfId="15200" priority="92">
      <formula>$C46=$E$3</formula>
    </cfRule>
    <cfRule type="expression" dxfId="15199" priority="93">
      <formula>$C46&lt;$E$3</formula>
    </cfRule>
    <cfRule type="cellIs" dxfId="15198" priority="94" operator="equal">
      <formula>0</formula>
    </cfRule>
    <cfRule type="expression" dxfId="15197" priority="95">
      <formula>$C46&gt;$E$3</formula>
    </cfRule>
  </conditionalFormatting>
  <conditionalFormatting sqref="K46">
    <cfRule type="expression" dxfId="15196" priority="91">
      <formula>$C46&lt;$E$3</formula>
    </cfRule>
  </conditionalFormatting>
  <conditionalFormatting sqref="K46">
    <cfRule type="expression" dxfId="15195" priority="87">
      <formula>$C46=$E$3</formula>
    </cfRule>
    <cfRule type="expression" dxfId="15194" priority="88">
      <formula>$C46&lt;$E$3</formula>
    </cfRule>
    <cfRule type="cellIs" dxfId="15193" priority="89" operator="equal">
      <formula>0</formula>
    </cfRule>
    <cfRule type="expression" dxfId="15192" priority="90">
      <formula>$C46&gt;$E$3</formula>
    </cfRule>
  </conditionalFormatting>
  <conditionalFormatting sqref="K46">
    <cfRule type="expression" dxfId="15191" priority="86">
      <formula>$E46=""</formula>
    </cfRule>
  </conditionalFormatting>
  <conditionalFormatting sqref="K46">
    <cfRule type="expression" dxfId="15190" priority="85">
      <formula>$C46&lt;$E$3</formula>
    </cfRule>
  </conditionalFormatting>
  <conditionalFormatting sqref="K46">
    <cfRule type="expression" dxfId="15189" priority="84">
      <formula>$E46=""</formula>
    </cfRule>
  </conditionalFormatting>
  <conditionalFormatting sqref="K46">
    <cfRule type="expression" dxfId="15188" priority="83">
      <formula>$E46=""</formula>
    </cfRule>
  </conditionalFormatting>
  <conditionalFormatting sqref="K46">
    <cfRule type="expression" dxfId="15187" priority="82">
      <formula>$C46&lt;$E$3</formula>
    </cfRule>
  </conditionalFormatting>
  <conditionalFormatting sqref="K46">
    <cfRule type="expression" dxfId="15186" priority="81">
      <formula>$E46=""</formula>
    </cfRule>
  </conditionalFormatting>
  <conditionalFormatting sqref="K46">
    <cfRule type="expression" dxfId="15185" priority="80">
      <formula>$C46&lt;$E$3</formula>
    </cfRule>
  </conditionalFormatting>
  <conditionalFormatting sqref="K46">
    <cfRule type="expression" dxfId="15184" priority="79">
      <formula>$E46=""</formula>
    </cfRule>
  </conditionalFormatting>
  <conditionalFormatting sqref="K46">
    <cfRule type="expression" dxfId="15183" priority="78">
      <formula>$C46&lt;$E$3</formula>
    </cfRule>
  </conditionalFormatting>
  <conditionalFormatting sqref="K46">
    <cfRule type="expression" dxfId="15182" priority="77">
      <formula>$E46=""</formula>
    </cfRule>
  </conditionalFormatting>
  <conditionalFormatting sqref="K41:K45">
    <cfRule type="expression" dxfId="15181" priority="76">
      <formula>$C41&lt;$E$3</formula>
    </cfRule>
  </conditionalFormatting>
  <conditionalFormatting sqref="K41:K45">
    <cfRule type="expression" dxfId="15180" priority="72">
      <formula>$C41=$E$3</formula>
    </cfRule>
    <cfRule type="expression" dxfId="15179" priority="73">
      <formula>$C41&lt;$E$3</formula>
    </cfRule>
    <cfRule type="cellIs" dxfId="15178" priority="74" operator="equal">
      <formula>0</formula>
    </cfRule>
    <cfRule type="expression" dxfId="15177" priority="75">
      <formula>$C41&gt;$E$3</formula>
    </cfRule>
  </conditionalFormatting>
  <conditionalFormatting sqref="K41:K45">
    <cfRule type="expression" dxfId="15176" priority="71">
      <formula>$C41&lt;$E$3</formula>
    </cfRule>
  </conditionalFormatting>
  <conditionalFormatting sqref="K41:K45">
    <cfRule type="expression" dxfId="15175" priority="67">
      <formula>$C41=$E$3</formula>
    </cfRule>
    <cfRule type="expression" dxfId="15174" priority="68">
      <formula>$C41&lt;$E$3</formula>
    </cfRule>
    <cfRule type="cellIs" dxfId="15173" priority="69" operator="equal">
      <formula>0</formula>
    </cfRule>
    <cfRule type="expression" dxfId="15172" priority="70">
      <formula>$C41&gt;$E$3</formula>
    </cfRule>
  </conditionalFormatting>
  <conditionalFormatting sqref="K41:K45">
    <cfRule type="expression" dxfId="15171" priority="66">
      <formula>$C41&lt;$E$3</formula>
    </cfRule>
  </conditionalFormatting>
  <conditionalFormatting sqref="K41:K45">
    <cfRule type="expression" dxfId="15170" priority="62">
      <formula>$C41=$E$3</formula>
    </cfRule>
    <cfRule type="expression" dxfId="15169" priority="63">
      <formula>$C41&lt;$E$3</formula>
    </cfRule>
    <cfRule type="cellIs" dxfId="15168" priority="64" operator="equal">
      <formula>0</formula>
    </cfRule>
    <cfRule type="expression" dxfId="15167" priority="65">
      <formula>$C41&gt;$E$3</formula>
    </cfRule>
  </conditionalFormatting>
  <conditionalFormatting sqref="K41:K45">
    <cfRule type="expression" dxfId="15166" priority="61">
      <formula>$C41&lt;$E$3</formula>
    </cfRule>
  </conditionalFormatting>
  <conditionalFormatting sqref="K41:K45">
    <cfRule type="expression" dxfId="15165" priority="57">
      <formula>$C41=$E$3</formula>
    </cfRule>
    <cfRule type="expression" dxfId="15164" priority="58">
      <formula>$C41&lt;$E$3</formula>
    </cfRule>
    <cfRule type="cellIs" dxfId="15163" priority="59" operator="equal">
      <formula>0</formula>
    </cfRule>
    <cfRule type="expression" dxfId="15162" priority="60">
      <formula>$C41&gt;$E$3</formula>
    </cfRule>
  </conditionalFormatting>
  <conditionalFormatting sqref="K41:K45">
    <cfRule type="expression" dxfId="15161" priority="56">
      <formula>$E41=""</formula>
    </cfRule>
  </conditionalFormatting>
  <conditionalFormatting sqref="K41:K45">
    <cfRule type="expression" dxfId="15160" priority="55">
      <formula>$C41&lt;$E$3</formula>
    </cfRule>
  </conditionalFormatting>
  <conditionalFormatting sqref="K41:K45">
    <cfRule type="expression" dxfId="15159" priority="54">
      <formula>$E41=""</formula>
    </cfRule>
  </conditionalFormatting>
  <conditionalFormatting sqref="K41:K45">
    <cfRule type="expression" dxfId="15158" priority="53">
      <formula>$E41=""</formula>
    </cfRule>
  </conditionalFormatting>
  <conditionalFormatting sqref="K41:K45">
    <cfRule type="expression" dxfId="15157" priority="52">
      <formula>$C41&lt;$E$3</formula>
    </cfRule>
  </conditionalFormatting>
  <conditionalFormatting sqref="K41:K45">
    <cfRule type="expression" dxfId="15156" priority="51">
      <formula>$E41=""</formula>
    </cfRule>
  </conditionalFormatting>
  <conditionalFormatting sqref="K41:K45">
    <cfRule type="expression" dxfId="15155" priority="50">
      <formula>$C41&lt;$E$3</formula>
    </cfRule>
  </conditionalFormatting>
  <conditionalFormatting sqref="K41:K45">
    <cfRule type="expression" dxfId="15154" priority="49">
      <formula>$E41=""</formula>
    </cfRule>
  </conditionalFormatting>
  <conditionalFormatting sqref="K41:K45">
    <cfRule type="expression" dxfId="15153" priority="48">
      <formula>$C41&lt;$E$3</formula>
    </cfRule>
  </conditionalFormatting>
  <conditionalFormatting sqref="K41:K45">
    <cfRule type="expression" dxfId="15152" priority="47">
      <formula>$E41=""</formula>
    </cfRule>
  </conditionalFormatting>
  <conditionalFormatting sqref="K41:K45">
    <cfRule type="expression" dxfId="15151" priority="46">
      <formula>$C41&lt;$E$3</formula>
    </cfRule>
  </conditionalFormatting>
  <conditionalFormatting sqref="K41:K45">
    <cfRule type="expression" dxfId="15150" priority="42">
      <formula>$C41=$E$3</formula>
    </cfRule>
    <cfRule type="expression" dxfId="15149" priority="43">
      <formula>$C41&lt;$E$3</formula>
    </cfRule>
    <cfRule type="cellIs" dxfId="15148" priority="44" operator="equal">
      <formula>0</formula>
    </cfRule>
    <cfRule type="expression" dxfId="15147" priority="45">
      <formula>$C41&gt;$E$3</formula>
    </cfRule>
  </conditionalFormatting>
  <conditionalFormatting sqref="K41:K45">
    <cfRule type="expression" dxfId="15146" priority="41">
      <formula>$C41&lt;$E$3</formula>
    </cfRule>
  </conditionalFormatting>
  <conditionalFormatting sqref="K41:K45">
    <cfRule type="expression" dxfId="15145" priority="37">
      <formula>$C41=$E$3</formula>
    </cfRule>
    <cfRule type="expression" dxfId="15144" priority="38">
      <formula>$C41&lt;$E$3</formula>
    </cfRule>
    <cfRule type="cellIs" dxfId="15143" priority="39" operator="equal">
      <formula>0</formula>
    </cfRule>
    <cfRule type="expression" dxfId="15142" priority="40">
      <formula>$C41&gt;$E$3</formula>
    </cfRule>
  </conditionalFormatting>
  <conditionalFormatting sqref="K41:K45">
    <cfRule type="expression" dxfId="15141" priority="36">
      <formula>$C41&lt;$E$3</formula>
    </cfRule>
  </conditionalFormatting>
  <conditionalFormatting sqref="K41:K45">
    <cfRule type="expression" dxfId="15140" priority="32">
      <formula>$C41=$E$3</formula>
    </cfRule>
    <cfRule type="expression" dxfId="15139" priority="33">
      <formula>$C41&lt;$E$3</formula>
    </cfRule>
    <cfRule type="cellIs" dxfId="15138" priority="34" operator="equal">
      <formula>0</formula>
    </cfRule>
    <cfRule type="expression" dxfId="15137" priority="35">
      <formula>$C41&gt;$E$3</formula>
    </cfRule>
  </conditionalFormatting>
  <conditionalFormatting sqref="K41:K45">
    <cfRule type="expression" dxfId="15136" priority="31">
      <formula>$C41&lt;$E$3</formula>
    </cfRule>
  </conditionalFormatting>
  <conditionalFormatting sqref="K41:K45">
    <cfRule type="expression" dxfId="15135" priority="27">
      <formula>$C41=$E$3</formula>
    </cfRule>
    <cfRule type="expression" dxfId="15134" priority="28">
      <formula>$C41&lt;$E$3</formula>
    </cfRule>
    <cfRule type="cellIs" dxfId="15133" priority="29" operator="equal">
      <formula>0</formula>
    </cfRule>
    <cfRule type="expression" dxfId="15132" priority="30">
      <formula>$C41&gt;$E$3</formula>
    </cfRule>
  </conditionalFormatting>
  <conditionalFormatting sqref="K41:K45">
    <cfRule type="expression" dxfId="15131" priority="26">
      <formula>$E41=""</formula>
    </cfRule>
  </conditionalFormatting>
  <conditionalFormatting sqref="K41:K45">
    <cfRule type="expression" dxfId="15130" priority="25">
      <formula>$C41&lt;$E$3</formula>
    </cfRule>
  </conditionalFormatting>
  <conditionalFormatting sqref="K41:K45">
    <cfRule type="expression" dxfId="15129" priority="24">
      <formula>$E41=""</formula>
    </cfRule>
  </conditionalFormatting>
  <conditionalFormatting sqref="K41:K45">
    <cfRule type="expression" dxfId="15128" priority="23">
      <formula>$E41=""</formula>
    </cfRule>
  </conditionalFormatting>
  <conditionalFormatting sqref="K41:K45">
    <cfRule type="expression" dxfId="15127" priority="22">
      <formula>$C41&lt;$E$3</formula>
    </cfRule>
  </conditionalFormatting>
  <conditionalFormatting sqref="K41:K45">
    <cfRule type="expression" dxfId="15126" priority="21">
      <formula>$E41=""</formula>
    </cfRule>
  </conditionalFormatting>
  <conditionalFormatting sqref="K41:K45">
    <cfRule type="expression" dxfId="15125" priority="20">
      <formula>$C41&lt;$E$3</formula>
    </cfRule>
  </conditionalFormatting>
  <conditionalFormatting sqref="K41:K45">
    <cfRule type="expression" dxfId="15124" priority="19">
      <formula>$E41=""</formula>
    </cfRule>
  </conditionalFormatting>
  <conditionalFormatting sqref="K41:K45">
    <cfRule type="expression" dxfId="15123" priority="18">
      <formula>$C41&lt;$E$3</formula>
    </cfRule>
  </conditionalFormatting>
  <conditionalFormatting sqref="K41:K45">
    <cfRule type="expression" dxfId="15122" priority="17">
      <formula>$E41=""</formula>
    </cfRule>
  </conditionalFormatting>
  <conditionalFormatting sqref="K41:K47">
    <cfRule type="expression" dxfId="15121" priority="15">
      <formula>$C41&lt;$E$3</formula>
    </cfRule>
  </conditionalFormatting>
  <conditionalFormatting sqref="K41:K47">
    <cfRule type="expression" dxfId="15120" priority="12">
      <formula>$C41=$E$3</formula>
    </cfRule>
    <cfRule type="expression" dxfId="15119" priority="13">
      <formula>$C41&lt;$E$3</formula>
    </cfRule>
    <cfRule type="cellIs" dxfId="15118" priority="14" operator="equal">
      <formula>0</formula>
    </cfRule>
    <cfRule type="expression" dxfId="15117" priority="16">
      <formula>$C41&gt;$E$3</formula>
    </cfRule>
  </conditionalFormatting>
  <conditionalFormatting sqref="K41:K47">
    <cfRule type="expression" dxfId="15116" priority="11">
      <formula>$E41=""</formula>
    </cfRule>
  </conditionalFormatting>
  <conditionalFormatting sqref="K41:K47">
    <cfRule type="expression" dxfId="15115" priority="10">
      <formula>$E41=""</formula>
    </cfRule>
  </conditionalFormatting>
  <conditionalFormatting sqref="K41:K47">
    <cfRule type="expression" dxfId="15114" priority="9">
      <formula>$E41=""</formula>
    </cfRule>
  </conditionalFormatting>
  <conditionalFormatting sqref="N20 N18 N16">
    <cfRule type="cellIs" dxfId="15113" priority="8" stopIfTrue="1" operator="lessThan">
      <formula>0</formula>
    </cfRule>
  </conditionalFormatting>
  <conditionalFormatting sqref="N23 N27:N28">
    <cfRule type="cellIs" dxfId="15112" priority="7" stopIfTrue="1" operator="lessThan">
      <formula>0</formula>
    </cfRule>
  </conditionalFormatting>
  <conditionalFormatting sqref="N32:N34 N36 N38">
    <cfRule type="cellIs" dxfId="15111" priority="6" stopIfTrue="1" operator="lessThan">
      <formula>0</formula>
    </cfRule>
  </conditionalFormatting>
  <conditionalFormatting sqref="N41:N47">
    <cfRule type="cellIs" dxfId="15110" priority="5" stopIfTrue="1" operator="lessThan">
      <formula>0</formula>
    </cfRule>
  </conditionalFormatting>
  <conditionalFormatting sqref="N29">
    <cfRule type="cellIs" dxfId="15109" priority="4" stopIfTrue="1" operator="lessThan">
      <formula>0</formula>
    </cfRule>
  </conditionalFormatting>
  <conditionalFormatting sqref="N25">
    <cfRule type="cellIs" dxfId="15108" priority="3" stopIfTrue="1" operator="lessThan">
      <formula>0</formula>
    </cfRule>
  </conditionalFormatting>
  <conditionalFormatting sqref="N26">
    <cfRule type="cellIs" dxfId="15107" priority="2" stopIfTrue="1" operator="lessThan">
      <formula>0</formula>
    </cfRule>
  </conditionalFormatting>
  <conditionalFormatting sqref="N24">
    <cfRule type="cellIs" dxfId="15106" priority="1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AH118"/>
  <sheetViews>
    <sheetView workbookViewId="0">
      <selection activeCell="F28" sqref="F28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8" customWidth="1"/>
    <col min="11" max="11" width="8.1640625" hidden="1" customWidth="1"/>
    <col min="12" max="12" width="7.66406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1" width="10.33203125" bestFit="1" customWidth="1"/>
    <col min="33" max="33" width="10.6640625" bestFit="1" customWidth="1"/>
  </cols>
  <sheetData>
    <row r="1" spans="1:34" ht="53.25" customHeight="1" thickBot="1">
      <c r="A1" s="42">
        <v>2</v>
      </c>
      <c r="B1" s="40" t="s">
        <v>0</v>
      </c>
      <c r="C1" s="41"/>
      <c r="D1" s="41"/>
      <c r="E1" s="193" t="str">
        <f>VLOOKUP(A1,'MY STATS'!$B$32:$E$43,4)</f>
        <v>Feb.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168" t="s">
        <v>25</v>
      </c>
      <c r="P1" s="170" t="s">
        <v>26</v>
      </c>
      <c r="Q1" s="170" t="s">
        <v>26</v>
      </c>
      <c r="R1" s="181" t="s">
        <v>32</v>
      </c>
      <c r="S1" s="194" t="s">
        <v>115</v>
      </c>
      <c r="T1" s="181"/>
      <c r="U1" s="181"/>
      <c r="V1" s="181" t="s">
        <v>84</v>
      </c>
      <c r="W1" s="181" t="s">
        <v>85</v>
      </c>
      <c r="X1" s="170" t="s">
        <v>24</v>
      </c>
      <c r="Y1" s="170" t="s">
        <v>21</v>
      </c>
      <c r="Z1" s="170" t="s">
        <v>22</v>
      </c>
      <c r="AA1" s="182" t="s">
        <v>23</v>
      </c>
      <c r="AB1" s="79"/>
      <c r="AC1" s="79"/>
      <c r="AD1" s="79"/>
      <c r="AE1" s="76"/>
      <c r="AF1" s="76"/>
      <c r="AG1" s="76"/>
      <c r="AH1" s="76"/>
    </row>
    <row r="2" spans="1:34" ht="36" hidden="1" thickTop="1" thickBot="1">
      <c r="A2" s="54" t="s">
        <v>64</v>
      </c>
      <c r="B2" s="21">
        <f>VLOOKUP(A1,'MY STATS'!$B$32:$G$43,3)</f>
        <v>45323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183"/>
      <c r="P2" s="79"/>
      <c r="Q2" s="79"/>
      <c r="R2" s="184">
        <f>'MY STATS'!A16</f>
        <v>3</v>
      </c>
      <c r="S2" s="184"/>
      <c r="T2" s="184"/>
      <c r="U2" s="184"/>
      <c r="V2" s="184"/>
      <c r="W2" s="184"/>
      <c r="X2" s="79"/>
      <c r="Y2" s="79"/>
      <c r="Z2" s="95"/>
      <c r="AA2" s="95"/>
      <c r="AB2" s="79"/>
      <c r="AC2" s="79"/>
      <c r="AD2" s="79"/>
      <c r="AE2" s="76"/>
      <c r="AF2" s="76"/>
      <c r="AG2" s="76"/>
      <c r="AH2" s="76"/>
    </row>
    <row r="3" spans="1:34" ht="18" hidden="1" thickTop="1" thickBot="1">
      <c r="A3" s="75">
        <f>'MY STATS'!D44</f>
        <v>45658</v>
      </c>
      <c r="B3" s="21">
        <f>VLOOKUP(A1+1,'MY STATS'!$B$32:$G$44,3)-1</f>
        <v>45351</v>
      </c>
      <c r="C3" s="21">
        <f>VLOOKUP(A1,'MY STATS'!$B$32:$G$43,2)</f>
        <v>45320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183"/>
      <c r="P3" s="79"/>
      <c r="Q3" s="79"/>
      <c r="R3" s="184"/>
      <c r="S3" s="184"/>
      <c r="T3" s="184"/>
      <c r="U3" s="184"/>
      <c r="V3" s="184"/>
      <c r="W3" s="184"/>
      <c r="X3" s="79"/>
      <c r="Y3" s="79"/>
      <c r="Z3" s="95"/>
      <c r="AA3" s="95"/>
      <c r="AB3" s="79"/>
      <c r="AC3" s="79"/>
      <c r="AD3" s="79"/>
      <c r="AE3" s="76"/>
      <c r="AF3" s="76"/>
      <c r="AG3" s="76"/>
      <c r="AH3" s="76"/>
    </row>
    <row r="4" spans="1:34" ht="1" customHeight="1" thickTop="1" thickBot="1">
      <c r="A4"/>
      <c r="C4" s="28">
        <f>C3-1</f>
        <v>45319</v>
      </c>
      <c r="D4"/>
      <c r="O4" s="185"/>
      <c r="P4" s="172">
        <f t="shared" ref="P4:P11" si="0">H$56</f>
        <v>35524.492173224367</v>
      </c>
      <c r="Q4" s="128">
        <f>IF(R$2=3,P4,IF(R$2=2,P4*1.0936,IF(R$2=1,P4*0.000568181818*1.0936133,"")))</f>
        <v>35524.492173224367</v>
      </c>
      <c r="R4" s="169">
        <v>0</v>
      </c>
      <c r="S4" s="169"/>
      <c r="T4" s="169"/>
      <c r="U4" s="169"/>
      <c r="V4" s="169"/>
      <c r="W4" s="169"/>
      <c r="X4" s="172"/>
      <c r="Y4" s="172"/>
      <c r="Z4" s="171">
        <v>0</v>
      </c>
      <c r="AA4" s="95"/>
      <c r="AB4" s="79">
        <v>0</v>
      </c>
      <c r="AC4" s="79"/>
      <c r="AD4" s="79"/>
      <c r="AE4" s="76"/>
      <c r="AF4" s="76"/>
      <c r="AG4" s="76"/>
      <c r="AH4" s="76"/>
    </row>
    <row r="5" spans="1:34">
      <c r="A5" s="22"/>
      <c r="B5" s="19">
        <f>IF(B$2&gt;C5,0,C5)</f>
        <v>0</v>
      </c>
      <c r="C5" s="28">
        <f>C3</f>
        <v>45320</v>
      </c>
      <c r="D5" s="20">
        <f t="shared" ref="D5:D51" ca="1" si="1">TODAY()-C5</f>
        <v>-29</v>
      </c>
      <c r="E5" s="91" t="str">
        <f>IF(B5=0,"","Monday")</f>
        <v/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71" t="str">
        <f t="shared" ref="O5:O51" si="3">IF(B5=0,"",(F$3-G$3)/(A$3-B$2)+0.1)</f>
        <v/>
      </c>
      <c r="P5" s="172">
        <f t="shared" si="0"/>
        <v>35524.492173224367</v>
      </c>
      <c r="Q5" s="128">
        <f t="shared" ref="Q5:Q51" si="4">IF(R$2=3,P5,IF(R$2=2,P5*1.0936,IF(R$2=1,P5*0.000568181818*1.0936133,"")))</f>
        <v>35524.492173224367</v>
      </c>
      <c r="R5" s="128">
        <f>IF(R$2=3,H5+G5/1.0936133+F5/0.0006213712,IF(R$2=2,H5*1.0936133+G5+F5/0.0005681818,IF(R$2=1,H5*0.0005681818*1.0936133+G5*0.0005681818+F5,"")))</f>
        <v>0</v>
      </c>
      <c r="S5" s="195" t="str">
        <f>IF(R5=0,"",R5*IF(L5&gt;0,1,0))</f>
        <v/>
      </c>
      <c r="T5" s="128"/>
      <c r="U5" s="128"/>
      <c r="V5" s="129" t="str">
        <f t="shared" ref="V5:V11" si="5">IF(L5="","",IF(R5=0,"",IF(B5=0,"",IF($R$2=3,R5/L5*60/1000,IF($R$2=2,R5/L5*60/1760,IF($R$2=1,R5/L5*60,""))))))</f>
        <v/>
      </c>
      <c r="W5" s="129" t="str">
        <f t="shared" ref="W5:W11" si="6">IF(R5=0,"",IF(L5="","",V5*L5))</f>
        <v/>
      </c>
      <c r="X5" s="171">
        <f t="shared" ref="X5:Z11" si="7">F5+X4</f>
        <v>0</v>
      </c>
      <c r="Y5" s="171">
        <f t="shared" si="7"/>
        <v>0</v>
      </c>
      <c r="Z5" s="171">
        <f t="shared" si="7"/>
        <v>0</v>
      </c>
      <c r="AA5" s="186">
        <f t="shared" ref="AA5:AA51" si="8">Z5/1000+Y5/1093.6133+X5/0.621371192</f>
        <v>0</v>
      </c>
      <c r="AB5" s="187">
        <f>R5</f>
        <v>0</v>
      </c>
      <c r="AC5" s="95"/>
      <c r="AD5" s="95"/>
      <c r="AE5" s="77"/>
      <c r="AF5" s="77"/>
      <c r="AG5" s="76"/>
      <c r="AH5" s="76"/>
    </row>
    <row r="6" spans="1:34">
      <c r="A6" s="23"/>
      <c r="B6" s="4">
        <f t="shared" ref="B6:B11" si="9">IF(B$2&gt;C6,0,C6)</f>
        <v>0</v>
      </c>
      <c r="C6" s="29">
        <f>C3+1</f>
        <v>45321</v>
      </c>
      <c r="D6" s="6">
        <f t="shared" ca="1" si="1"/>
        <v>-30</v>
      </c>
      <c r="E6" s="90" t="str">
        <f>IF(B6=0,"","Tuesday")</f>
        <v/>
      </c>
      <c r="F6" s="45"/>
      <c r="G6" s="46"/>
      <c r="H6" s="46"/>
      <c r="I6" s="151"/>
      <c r="J6" s="46"/>
      <c r="K6" s="152" t="str">
        <f t="shared" ref="K6:K11" si="10">IF(R6=0,"",IF(L6="","",J6))</f>
        <v/>
      </c>
      <c r="L6" s="46"/>
      <c r="M6" s="46" t="str">
        <f t="shared" si="2"/>
        <v/>
      </c>
      <c r="N6" s="301"/>
      <c r="O6" s="171" t="str">
        <f t="shared" si="3"/>
        <v/>
      </c>
      <c r="P6" s="172">
        <f t="shared" si="0"/>
        <v>35524.492173224367</v>
      </c>
      <c r="Q6" s="128">
        <f t="shared" si="4"/>
        <v>35524.492173224367</v>
      </c>
      <c r="R6" s="195">
        <f t="shared" ref="R6:R11" si="11">IF(R$2=3,H6+G6/1.0936133+F6/0.0006213712,IF(R$2=2,H6*1.0936133+G6+F6/0.0005681818,IF(R$2=1,H6*0.0005681818*1.0936133+G6*0.0005681818+F6,"")))</f>
        <v>0</v>
      </c>
      <c r="S6" s="195" t="str">
        <f t="shared" ref="S6:S51" si="12">IF(R6=0,"",R6*IF(L6&gt;0,1,0))</f>
        <v/>
      </c>
      <c r="T6" s="128"/>
      <c r="U6" s="128"/>
      <c r="V6" s="129" t="str">
        <f t="shared" si="5"/>
        <v/>
      </c>
      <c r="W6" s="129" t="str">
        <f t="shared" si="6"/>
        <v/>
      </c>
      <c r="X6" s="171">
        <f t="shared" si="7"/>
        <v>0</v>
      </c>
      <c r="Y6" s="171">
        <f t="shared" si="7"/>
        <v>0</v>
      </c>
      <c r="Z6" s="171">
        <f t="shared" si="7"/>
        <v>0</v>
      </c>
      <c r="AA6" s="186">
        <f t="shared" si="8"/>
        <v>0</v>
      </c>
      <c r="AB6" s="173">
        <f t="shared" ref="AB6:AB51" si="13">AB5+R6</f>
        <v>0</v>
      </c>
      <c r="AC6" s="79"/>
      <c r="AD6" s="79"/>
      <c r="AE6" s="76"/>
      <c r="AF6" s="76"/>
      <c r="AG6" s="76"/>
      <c r="AH6" s="78"/>
    </row>
    <row r="7" spans="1:34">
      <c r="A7" s="23"/>
      <c r="B7" s="4">
        <f t="shared" si="9"/>
        <v>0</v>
      </c>
      <c r="C7" s="29">
        <f>C3+2</f>
        <v>45322</v>
      </c>
      <c r="D7" s="6">
        <f t="shared" ca="1" si="1"/>
        <v>-31</v>
      </c>
      <c r="E7" s="90" t="str">
        <f>IF(B7=0,"","Wednesday")</f>
        <v/>
      </c>
      <c r="F7" s="45"/>
      <c r="G7" s="46"/>
      <c r="H7" s="46"/>
      <c r="I7" s="151"/>
      <c r="J7" s="46"/>
      <c r="K7" s="152" t="str">
        <f t="shared" si="10"/>
        <v/>
      </c>
      <c r="L7" s="46"/>
      <c r="M7" s="46" t="str">
        <f t="shared" si="2"/>
        <v/>
      </c>
      <c r="N7" s="310"/>
      <c r="O7" s="171" t="str">
        <f t="shared" si="3"/>
        <v/>
      </c>
      <c r="P7" s="172">
        <f t="shared" si="0"/>
        <v>35524.492173224367</v>
      </c>
      <c r="Q7" s="128">
        <f t="shared" si="4"/>
        <v>35524.492173224367</v>
      </c>
      <c r="R7" s="195">
        <f t="shared" si="11"/>
        <v>0</v>
      </c>
      <c r="S7" s="195" t="str">
        <f t="shared" si="12"/>
        <v/>
      </c>
      <c r="T7" s="128"/>
      <c r="U7" s="128"/>
      <c r="V7" s="129" t="str">
        <f t="shared" si="5"/>
        <v/>
      </c>
      <c r="W7" s="129" t="str">
        <f t="shared" si="6"/>
        <v/>
      </c>
      <c r="X7" s="171">
        <f t="shared" si="7"/>
        <v>0</v>
      </c>
      <c r="Y7" s="171">
        <f t="shared" si="7"/>
        <v>0</v>
      </c>
      <c r="Z7" s="171">
        <f t="shared" si="7"/>
        <v>0</v>
      </c>
      <c r="AA7" s="186">
        <f t="shared" si="8"/>
        <v>0</v>
      </c>
      <c r="AB7" s="173">
        <f t="shared" si="13"/>
        <v>0</v>
      </c>
      <c r="AC7" s="79"/>
      <c r="AD7" s="79"/>
      <c r="AE7" s="76"/>
      <c r="AF7" s="76"/>
      <c r="AG7" s="76"/>
      <c r="AH7" s="76"/>
    </row>
    <row r="8" spans="1:34">
      <c r="A8" s="23"/>
      <c r="B8" s="4">
        <f t="shared" si="9"/>
        <v>45323</v>
      </c>
      <c r="C8" s="29">
        <f>C3+3</f>
        <v>45323</v>
      </c>
      <c r="D8" s="6">
        <f t="shared" ca="1" si="1"/>
        <v>-32</v>
      </c>
      <c r="E8" s="90" t="str">
        <f>IF(B8=0,"","Thursday")</f>
        <v>Thursday</v>
      </c>
      <c r="F8" s="45"/>
      <c r="G8" s="46"/>
      <c r="H8" s="46"/>
      <c r="I8" s="151"/>
      <c r="J8" s="46"/>
      <c r="K8" s="152" t="str">
        <f t="shared" si="10"/>
        <v/>
      </c>
      <c r="L8" s="46"/>
      <c r="M8" s="46" t="str">
        <f t="shared" si="2"/>
        <v/>
      </c>
      <c r="N8" s="310"/>
      <c r="O8" s="171">
        <f t="shared" si="3"/>
        <v>1225.1230433060916</v>
      </c>
      <c r="P8" s="172">
        <f t="shared" si="0"/>
        <v>35524.492173224367</v>
      </c>
      <c r="Q8" s="128">
        <f t="shared" si="4"/>
        <v>35524.492173224367</v>
      </c>
      <c r="R8" s="195">
        <f t="shared" si="11"/>
        <v>0</v>
      </c>
      <c r="S8" s="195" t="str">
        <f t="shared" si="12"/>
        <v/>
      </c>
      <c r="T8" s="128"/>
      <c r="U8" s="128"/>
      <c r="V8" s="129" t="str">
        <f t="shared" si="5"/>
        <v/>
      </c>
      <c r="W8" s="129" t="str">
        <f t="shared" si="6"/>
        <v/>
      </c>
      <c r="X8" s="171">
        <f t="shared" si="7"/>
        <v>0</v>
      </c>
      <c r="Y8" s="171">
        <f t="shared" si="7"/>
        <v>0</v>
      </c>
      <c r="Z8" s="171">
        <f t="shared" si="7"/>
        <v>0</v>
      </c>
      <c r="AA8" s="186">
        <f t="shared" si="8"/>
        <v>0</v>
      </c>
      <c r="AB8" s="173">
        <f t="shared" si="13"/>
        <v>0</v>
      </c>
      <c r="AC8" s="79"/>
      <c r="AD8" s="79"/>
      <c r="AE8" s="76"/>
      <c r="AF8" s="76"/>
      <c r="AG8" s="76"/>
      <c r="AH8" s="76"/>
    </row>
    <row r="9" spans="1:34">
      <c r="A9" s="23"/>
      <c r="B9" s="4">
        <f t="shared" si="9"/>
        <v>45324</v>
      </c>
      <c r="C9" s="29">
        <f>C3+4</f>
        <v>45324</v>
      </c>
      <c r="D9" s="6">
        <f t="shared" ca="1" si="1"/>
        <v>-33</v>
      </c>
      <c r="E9" s="90" t="str">
        <f>IF(B9=0,"","Friday")</f>
        <v>Friday</v>
      </c>
      <c r="F9" s="45"/>
      <c r="G9" s="46"/>
      <c r="H9" s="46"/>
      <c r="I9" s="151"/>
      <c r="J9" s="46"/>
      <c r="K9" s="152" t="str">
        <f t="shared" si="10"/>
        <v/>
      </c>
      <c r="L9" s="46"/>
      <c r="M9" s="46" t="str">
        <f t="shared" si="2"/>
        <v/>
      </c>
      <c r="N9" s="301"/>
      <c r="O9" s="171">
        <f t="shared" si="3"/>
        <v>1225.1230433060916</v>
      </c>
      <c r="P9" s="172">
        <f t="shared" si="0"/>
        <v>35524.492173224367</v>
      </c>
      <c r="Q9" s="128">
        <f t="shared" si="4"/>
        <v>35524.492173224367</v>
      </c>
      <c r="R9" s="195">
        <f t="shared" si="11"/>
        <v>0</v>
      </c>
      <c r="S9" s="195" t="str">
        <f t="shared" si="12"/>
        <v/>
      </c>
      <c r="T9" s="128"/>
      <c r="U9" s="128"/>
      <c r="V9" s="129" t="str">
        <f t="shared" si="5"/>
        <v/>
      </c>
      <c r="W9" s="129" t="str">
        <f t="shared" si="6"/>
        <v/>
      </c>
      <c r="X9" s="171">
        <f t="shared" si="7"/>
        <v>0</v>
      </c>
      <c r="Y9" s="171">
        <f t="shared" si="7"/>
        <v>0</v>
      </c>
      <c r="Z9" s="171">
        <f t="shared" si="7"/>
        <v>0</v>
      </c>
      <c r="AA9" s="186">
        <f t="shared" si="8"/>
        <v>0</v>
      </c>
      <c r="AB9" s="173">
        <f t="shared" si="13"/>
        <v>0</v>
      </c>
      <c r="AC9" s="79"/>
      <c r="AD9" s="79"/>
      <c r="AE9" s="76"/>
      <c r="AF9" s="76"/>
      <c r="AG9" s="76"/>
      <c r="AH9" s="76"/>
    </row>
    <row r="10" spans="1:34">
      <c r="A10" s="23"/>
      <c r="B10" s="4">
        <f t="shared" si="9"/>
        <v>45325</v>
      </c>
      <c r="C10" s="29">
        <f>C3+5</f>
        <v>45325</v>
      </c>
      <c r="D10" s="6">
        <f t="shared" ca="1" si="1"/>
        <v>-34</v>
      </c>
      <c r="E10" s="90" t="str">
        <f>IF(B10=0,"","Saturday")</f>
        <v>Saturday</v>
      </c>
      <c r="F10" s="45"/>
      <c r="G10" s="46"/>
      <c r="H10" s="46"/>
      <c r="I10" s="151"/>
      <c r="J10" s="46"/>
      <c r="K10" s="152" t="str">
        <f t="shared" si="10"/>
        <v/>
      </c>
      <c r="L10" s="46"/>
      <c r="M10" s="46" t="str">
        <f t="shared" si="2"/>
        <v/>
      </c>
      <c r="N10" s="310"/>
      <c r="O10" s="171">
        <f t="shared" si="3"/>
        <v>1225.1230433060916</v>
      </c>
      <c r="P10" s="172">
        <f t="shared" si="0"/>
        <v>35524.492173224367</v>
      </c>
      <c r="Q10" s="128">
        <f t="shared" si="4"/>
        <v>35524.492173224367</v>
      </c>
      <c r="R10" s="195">
        <f t="shared" si="11"/>
        <v>0</v>
      </c>
      <c r="S10" s="195" t="str">
        <f t="shared" si="12"/>
        <v/>
      </c>
      <c r="T10" s="128"/>
      <c r="U10" s="128"/>
      <c r="V10" s="129" t="str">
        <f t="shared" si="5"/>
        <v/>
      </c>
      <c r="W10" s="129" t="str">
        <f t="shared" si="6"/>
        <v/>
      </c>
      <c r="X10" s="171">
        <f t="shared" si="7"/>
        <v>0</v>
      </c>
      <c r="Y10" s="171">
        <f t="shared" si="7"/>
        <v>0</v>
      </c>
      <c r="Z10" s="171">
        <f t="shared" si="7"/>
        <v>0</v>
      </c>
      <c r="AA10" s="186">
        <f t="shared" si="8"/>
        <v>0</v>
      </c>
      <c r="AB10" s="173">
        <f t="shared" si="13"/>
        <v>0</v>
      </c>
      <c r="AC10" s="79"/>
      <c r="AD10" s="79"/>
      <c r="AE10" s="76"/>
      <c r="AF10" s="76"/>
      <c r="AG10" s="76"/>
      <c r="AH10" s="76"/>
    </row>
    <row r="11" spans="1:34" ht="17" thickBot="1">
      <c r="A11" s="23"/>
      <c r="B11" s="43">
        <f t="shared" si="9"/>
        <v>45326</v>
      </c>
      <c r="C11" s="32">
        <f>C3+6</f>
        <v>45326</v>
      </c>
      <c r="D11" s="44">
        <f t="shared" ca="1" si="1"/>
        <v>-35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0"/>
        <v/>
      </c>
      <c r="L11" s="46"/>
      <c r="M11" s="46" t="str">
        <f t="shared" si="2"/>
        <v/>
      </c>
      <c r="N11" s="310"/>
      <c r="O11" s="171">
        <f t="shared" si="3"/>
        <v>1225.1230433060916</v>
      </c>
      <c r="P11" s="172">
        <f t="shared" si="0"/>
        <v>35524.492173224367</v>
      </c>
      <c r="Q11" s="128">
        <f t="shared" si="4"/>
        <v>35524.492173224367</v>
      </c>
      <c r="R11" s="195">
        <f t="shared" si="11"/>
        <v>0</v>
      </c>
      <c r="S11" s="195" t="str">
        <f t="shared" si="12"/>
        <v/>
      </c>
      <c r="T11" s="128"/>
      <c r="U11" s="128"/>
      <c r="V11" s="129" t="str">
        <f t="shared" si="5"/>
        <v/>
      </c>
      <c r="W11" s="129" t="str">
        <f t="shared" si="6"/>
        <v/>
      </c>
      <c r="X11" s="171">
        <f t="shared" si="7"/>
        <v>0</v>
      </c>
      <c r="Y11" s="171">
        <f t="shared" si="7"/>
        <v>0</v>
      </c>
      <c r="Z11" s="171">
        <f t="shared" si="7"/>
        <v>0</v>
      </c>
      <c r="AA11" s="186">
        <f t="shared" si="8"/>
        <v>0</v>
      </c>
      <c r="AB11" s="173">
        <f t="shared" si="13"/>
        <v>0</v>
      </c>
      <c r="AC11" s="79"/>
      <c r="AD11" s="79"/>
      <c r="AE11" s="76"/>
      <c r="AF11" s="76"/>
      <c r="AG11" s="76"/>
      <c r="AH11" s="76"/>
    </row>
    <row r="12" spans="1:34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71" t="str">
        <f t="shared" si="3"/>
        <v/>
      </c>
      <c r="P12" s="172"/>
      <c r="Q12" s="128">
        <f t="shared" si="4"/>
        <v>0</v>
      </c>
      <c r="R12" s="267"/>
      <c r="S12" s="195" t="str">
        <f t="shared" si="12"/>
        <v/>
      </c>
      <c r="T12" s="188"/>
      <c r="U12" s="188"/>
      <c r="V12" s="188"/>
      <c r="W12" s="188"/>
      <c r="X12" s="172"/>
      <c r="Y12" s="172"/>
      <c r="Z12" s="95"/>
      <c r="AA12" s="186">
        <f t="shared" si="8"/>
        <v>0</v>
      </c>
      <c r="AB12" s="173">
        <f t="shared" si="13"/>
        <v>0</v>
      </c>
      <c r="AC12" s="79"/>
      <c r="AD12" s="79"/>
      <c r="AE12" s="76"/>
      <c r="AF12" s="76"/>
      <c r="AG12" s="76"/>
      <c r="AH12" s="76"/>
    </row>
    <row r="13" spans="1:34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3.045019002672869</v>
      </c>
      <c r="G13" s="53">
        <f>H13*1.0936113</f>
        <v>5359.2336161997246</v>
      </c>
      <c r="H13" s="103">
        <f>SUM($O5:$O11)</f>
        <v>4900.4921732243665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71" t="str">
        <f t="shared" si="3"/>
        <v/>
      </c>
      <c r="P13" s="172"/>
      <c r="Q13" s="128">
        <f t="shared" si="4"/>
        <v>0</v>
      </c>
      <c r="R13" s="171"/>
      <c r="S13" s="195" t="str">
        <f t="shared" si="12"/>
        <v/>
      </c>
      <c r="T13" s="189"/>
      <c r="U13" s="189"/>
      <c r="V13" s="189"/>
      <c r="W13" s="189"/>
      <c r="X13" s="172"/>
      <c r="Y13" s="172"/>
      <c r="Z13" s="95"/>
      <c r="AA13" s="186">
        <f t="shared" si="8"/>
        <v>0</v>
      </c>
      <c r="AB13" s="173">
        <f t="shared" si="13"/>
        <v>0</v>
      </c>
      <c r="AC13" s="79"/>
      <c r="AD13" s="79"/>
      <c r="AE13" s="76"/>
      <c r="AF13" s="76"/>
      <c r="AG13" s="76"/>
      <c r="AH13" s="76"/>
    </row>
    <row r="14" spans="1:34" ht="17" thickTop="1">
      <c r="A14" s="1"/>
      <c r="B14" s="47">
        <f t="shared" ref="B14:B20" si="14">IF(B$2&gt;C14,0,C14)</f>
        <v>45327</v>
      </c>
      <c r="C14" s="31">
        <f>C11+1</f>
        <v>45327</v>
      </c>
      <c r="D14" s="18">
        <f t="shared" ca="1" si="1"/>
        <v>-36</v>
      </c>
      <c r="E14" s="94" t="s">
        <v>1</v>
      </c>
      <c r="F14" s="45"/>
      <c r="G14" s="46"/>
      <c r="H14" s="46"/>
      <c r="I14" s="109"/>
      <c r="J14" s="101"/>
      <c r="K14" s="152" t="str">
        <f t="shared" ref="K14:K20" si="15">IF(R14=0,"",IF(L14="","",J14))</f>
        <v/>
      </c>
      <c r="L14" s="101"/>
      <c r="M14" s="46" t="str">
        <f t="shared" ref="M14:M20" si="16">IF(R14=0,"",IF(J14="","",L14))</f>
        <v/>
      </c>
      <c r="N14" s="310"/>
      <c r="O14" s="171">
        <f t="shared" si="3"/>
        <v>1225.1230433060916</v>
      </c>
      <c r="P14" s="172">
        <f t="shared" ref="P14:P20" si="17">H$56</f>
        <v>35524.492173224367</v>
      </c>
      <c r="Q14" s="128">
        <f t="shared" si="4"/>
        <v>35524.492173224367</v>
      </c>
      <c r="R14" s="195">
        <f>IF(R$2=3,H14+G14/1.0936133+F14/0.0006213712,IF(R$2=2,H14*1.0936133+G14+F14/0.0005681818,IF(R$2=1,H14*0.0005681818*1.0936133+G14*0.0005681818+F14,"")))</f>
        <v>0</v>
      </c>
      <c r="S14" s="195" t="str">
        <f t="shared" si="12"/>
        <v/>
      </c>
      <c r="T14" s="128"/>
      <c r="U14" s="128"/>
      <c r="V14" s="129" t="str">
        <f t="shared" ref="V14:V20" si="18">IF(L14="","",IF(R14=0,"",IF(B14=0,"",IF($R$2=3,R14/L14*60/1000,IF($R$2=2,R14/L14*60/1760,IF($R$2=1,R14/L14*60,""))))))</f>
        <v/>
      </c>
      <c r="W14" s="129" t="str">
        <f t="shared" ref="W14:W20" si="19">IF(R14=0,"",IF(L14="","",V14*L14))</f>
        <v/>
      </c>
      <c r="X14" s="171">
        <f>F14+X11</f>
        <v>0</v>
      </c>
      <c r="Y14" s="171">
        <f>G14+Y11</f>
        <v>0</v>
      </c>
      <c r="Z14" s="171">
        <f>H14+Z11</f>
        <v>0</v>
      </c>
      <c r="AA14" s="186">
        <f t="shared" si="8"/>
        <v>0</v>
      </c>
      <c r="AB14" s="173">
        <f t="shared" si="13"/>
        <v>0</v>
      </c>
      <c r="AC14" s="79"/>
      <c r="AD14" s="79"/>
      <c r="AE14" s="76"/>
      <c r="AF14" s="76"/>
      <c r="AG14" s="76"/>
      <c r="AH14" s="76"/>
    </row>
    <row r="15" spans="1:34">
      <c r="A15" s="1"/>
      <c r="B15" s="4">
        <f t="shared" si="14"/>
        <v>45328</v>
      </c>
      <c r="C15" s="29">
        <f t="shared" ref="C15:C20" si="20">C14+1</f>
        <v>45328</v>
      </c>
      <c r="D15" s="6">
        <f t="shared" ca="1" si="1"/>
        <v>-37</v>
      </c>
      <c r="E15" s="90" t="s">
        <v>2</v>
      </c>
      <c r="F15" s="45"/>
      <c r="G15" s="46"/>
      <c r="H15" s="46"/>
      <c r="I15" s="151"/>
      <c r="J15" s="46"/>
      <c r="K15" s="152" t="str">
        <f t="shared" si="15"/>
        <v/>
      </c>
      <c r="L15" s="46"/>
      <c r="M15" s="46" t="str">
        <f t="shared" si="16"/>
        <v/>
      </c>
      <c r="N15" s="310"/>
      <c r="O15" s="171">
        <f t="shared" si="3"/>
        <v>1225.1230433060916</v>
      </c>
      <c r="P15" s="172">
        <f t="shared" si="17"/>
        <v>35524.492173224367</v>
      </c>
      <c r="Q15" s="128">
        <f t="shared" si="4"/>
        <v>35524.492173224367</v>
      </c>
      <c r="R15" s="195">
        <f t="shared" ref="R15:R20" si="21">IF(R$2=3,H15+G15/1.0936133+F15/0.0006213712,IF(R$2=2,H15*1.0936133+G15+F15/0.0005681818,IF(R$2=1,H15*0.0005681818*1.0936133+G15*0.0005681818+F15,"")))</f>
        <v>0</v>
      </c>
      <c r="S15" s="195" t="str">
        <f t="shared" si="12"/>
        <v/>
      </c>
      <c r="T15" s="128"/>
      <c r="U15" s="128"/>
      <c r="V15" s="129" t="str">
        <f t="shared" si="18"/>
        <v/>
      </c>
      <c r="W15" s="129" t="str">
        <f t="shared" si="19"/>
        <v/>
      </c>
      <c r="X15" s="171">
        <f t="shared" ref="X15:Z20" si="22">F15+X14</f>
        <v>0</v>
      </c>
      <c r="Y15" s="171">
        <f t="shared" si="22"/>
        <v>0</v>
      </c>
      <c r="Z15" s="171">
        <f t="shared" si="22"/>
        <v>0</v>
      </c>
      <c r="AA15" s="186">
        <f t="shared" si="8"/>
        <v>0</v>
      </c>
      <c r="AB15" s="173">
        <f t="shared" si="13"/>
        <v>0</v>
      </c>
      <c r="AC15" s="79"/>
      <c r="AD15" s="79"/>
      <c r="AE15" s="76"/>
      <c r="AF15" s="76"/>
      <c r="AG15" s="76"/>
      <c r="AH15" s="76"/>
    </row>
    <row r="16" spans="1:34">
      <c r="A16" s="1"/>
      <c r="B16" s="4">
        <f t="shared" si="14"/>
        <v>45329</v>
      </c>
      <c r="C16" s="29">
        <f t="shared" si="20"/>
        <v>45329</v>
      </c>
      <c r="D16" s="6">
        <f t="shared" ca="1" si="1"/>
        <v>-38</v>
      </c>
      <c r="E16" s="90" t="s">
        <v>3</v>
      </c>
      <c r="F16" s="45"/>
      <c r="G16" s="46"/>
      <c r="H16" s="46"/>
      <c r="I16" s="151"/>
      <c r="J16" s="46"/>
      <c r="K16" s="152" t="str">
        <f t="shared" si="15"/>
        <v/>
      </c>
      <c r="L16" s="46"/>
      <c r="M16" s="46" t="str">
        <f t="shared" si="16"/>
        <v/>
      </c>
      <c r="N16" s="301"/>
      <c r="O16" s="171">
        <f t="shared" si="3"/>
        <v>1225.1230433060916</v>
      </c>
      <c r="P16" s="172">
        <f t="shared" si="17"/>
        <v>35524.492173224367</v>
      </c>
      <c r="Q16" s="128">
        <f t="shared" si="4"/>
        <v>35524.492173224367</v>
      </c>
      <c r="R16" s="195">
        <f t="shared" si="21"/>
        <v>0</v>
      </c>
      <c r="S16" s="195" t="str">
        <f t="shared" si="12"/>
        <v/>
      </c>
      <c r="T16" s="128"/>
      <c r="U16" s="128"/>
      <c r="V16" s="129" t="str">
        <f t="shared" si="18"/>
        <v/>
      </c>
      <c r="W16" s="129" t="str">
        <f t="shared" si="19"/>
        <v/>
      </c>
      <c r="X16" s="171">
        <f t="shared" si="22"/>
        <v>0</v>
      </c>
      <c r="Y16" s="171">
        <f t="shared" si="22"/>
        <v>0</v>
      </c>
      <c r="Z16" s="171">
        <f t="shared" si="22"/>
        <v>0</v>
      </c>
      <c r="AA16" s="186">
        <f t="shared" si="8"/>
        <v>0</v>
      </c>
      <c r="AB16" s="173">
        <f t="shared" si="13"/>
        <v>0</v>
      </c>
      <c r="AC16" s="79"/>
      <c r="AD16" s="79"/>
      <c r="AE16" s="76"/>
      <c r="AF16" s="76"/>
      <c r="AG16" s="76"/>
      <c r="AH16" s="76"/>
    </row>
    <row r="17" spans="1:34">
      <c r="A17" s="1"/>
      <c r="B17" s="4">
        <f t="shared" si="14"/>
        <v>45330</v>
      </c>
      <c r="C17" s="29">
        <f t="shared" si="20"/>
        <v>45330</v>
      </c>
      <c r="D17" s="6">
        <f t="shared" ca="1" si="1"/>
        <v>-39</v>
      </c>
      <c r="E17" s="90" t="s">
        <v>4</v>
      </c>
      <c r="F17" s="45"/>
      <c r="G17" s="46"/>
      <c r="H17" s="46"/>
      <c r="I17" s="151"/>
      <c r="J17" s="46"/>
      <c r="K17" s="152" t="str">
        <f t="shared" si="15"/>
        <v/>
      </c>
      <c r="L17" s="46"/>
      <c r="M17" s="46" t="str">
        <f t="shared" si="16"/>
        <v/>
      </c>
      <c r="N17" s="310"/>
      <c r="O17" s="171">
        <f t="shared" si="3"/>
        <v>1225.1230433060916</v>
      </c>
      <c r="P17" s="172">
        <f t="shared" si="17"/>
        <v>35524.492173224367</v>
      </c>
      <c r="Q17" s="128">
        <f t="shared" si="4"/>
        <v>35524.492173224367</v>
      </c>
      <c r="R17" s="195">
        <f t="shared" si="21"/>
        <v>0</v>
      </c>
      <c r="S17" s="195" t="str">
        <f t="shared" si="12"/>
        <v/>
      </c>
      <c r="T17" s="128"/>
      <c r="U17" s="128"/>
      <c r="V17" s="129" t="str">
        <f t="shared" si="18"/>
        <v/>
      </c>
      <c r="W17" s="129" t="str">
        <f t="shared" si="19"/>
        <v/>
      </c>
      <c r="X17" s="171">
        <f t="shared" si="22"/>
        <v>0</v>
      </c>
      <c r="Y17" s="171">
        <f t="shared" si="22"/>
        <v>0</v>
      </c>
      <c r="Z17" s="171">
        <f t="shared" si="22"/>
        <v>0</v>
      </c>
      <c r="AA17" s="186">
        <f t="shared" si="8"/>
        <v>0</v>
      </c>
      <c r="AB17" s="173">
        <f t="shared" si="13"/>
        <v>0</v>
      </c>
      <c r="AC17" s="79"/>
      <c r="AD17" s="79"/>
      <c r="AE17" s="76"/>
      <c r="AF17" s="76"/>
      <c r="AG17" s="76"/>
      <c r="AH17" s="76"/>
    </row>
    <row r="18" spans="1:34">
      <c r="A18" s="1"/>
      <c r="B18" s="4">
        <f t="shared" si="14"/>
        <v>45331</v>
      </c>
      <c r="C18" s="29">
        <f t="shared" si="20"/>
        <v>45331</v>
      </c>
      <c r="D18" s="6">
        <f t="shared" ca="1" si="1"/>
        <v>-40</v>
      </c>
      <c r="E18" s="90" t="s">
        <v>5</v>
      </c>
      <c r="F18" s="45"/>
      <c r="G18" s="46"/>
      <c r="H18" s="46"/>
      <c r="I18" s="151"/>
      <c r="J18" s="46"/>
      <c r="K18" s="152" t="str">
        <f t="shared" si="15"/>
        <v/>
      </c>
      <c r="L18" s="46"/>
      <c r="M18" s="46" t="str">
        <f t="shared" si="16"/>
        <v/>
      </c>
      <c r="N18" s="301"/>
      <c r="O18" s="171">
        <f t="shared" si="3"/>
        <v>1225.1230433060916</v>
      </c>
      <c r="P18" s="172">
        <f t="shared" si="17"/>
        <v>35524.492173224367</v>
      </c>
      <c r="Q18" s="128">
        <f t="shared" si="4"/>
        <v>35524.492173224367</v>
      </c>
      <c r="R18" s="195">
        <f t="shared" si="21"/>
        <v>0</v>
      </c>
      <c r="S18" s="195" t="str">
        <f t="shared" si="12"/>
        <v/>
      </c>
      <c r="T18" s="128"/>
      <c r="U18" s="128"/>
      <c r="V18" s="129" t="str">
        <f t="shared" si="18"/>
        <v/>
      </c>
      <c r="W18" s="129" t="str">
        <f t="shared" si="19"/>
        <v/>
      </c>
      <c r="X18" s="171">
        <f t="shared" si="22"/>
        <v>0</v>
      </c>
      <c r="Y18" s="171">
        <f t="shared" si="22"/>
        <v>0</v>
      </c>
      <c r="Z18" s="171">
        <f t="shared" si="22"/>
        <v>0</v>
      </c>
      <c r="AA18" s="186">
        <f t="shared" si="8"/>
        <v>0</v>
      </c>
      <c r="AB18" s="173">
        <f t="shared" si="13"/>
        <v>0</v>
      </c>
      <c r="AC18" s="79"/>
      <c r="AD18" s="79"/>
      <c r="AE18" s="76"/>
      <c r="AF18" s="76"/>
      <c r="AG18" s="76"/>
      <c r="AH18" s="76"/>
    </row>
    <row r="19" spans="1:34">
      <c r="A19" s="1"/>
      <c r="B19" s="4">
        <f t="shared" si="14"/>
        <v>45332</v>
      </c>
      <c r="C19" s="29">
        <f t="shared" si="20"/>
        <v>45332</v>
      </c>
      <c r="D19" s="6">
        <f t="shared" ca="1" si="1"/>
        <v>-41</v>
      </c>
      <c r="E19" s="90" t="s">
        <v>6</v>
      </c>
      <c r="F19" s="45"/>
      <c r="G19" s="46"/>
      <c r="H19" s="46"/>
      <c r="I19" s="151"/>
      <c r="J19" s="46"/>
      <c r="K19" s="152" t="str">
        <f t="shared" si="15"/>
        <v/>
      </c>
      <c r="L19" s="46"/>
      <c r="M19" s="46" t="str">
        <f t="shared" si="16"/>
        <v/>
      </c>
      <c r="N19" s="310"/>
      <c r="O19" s="171">
        <f t="shared" si="3"/>
        <v>1225.1230433060916</v>
      </c>
      <c r="P19" s="172">
        <f t="shared" si="17"/>
        <v>35524.492173224367</v>
      </c>
      <c r="Q19" s="128">
        <f t="shared" si="4"/>
        <v>35524.492173224367</v>
      </c>
      <c r="R19" s="195">
        <f t="shared" si="21"/>
        <v>0</v>
      </c>
      <c r="S19" s="195" t="str">
        <f t="shared" si="12"/>
        <v/>
      </c>
      <c r="T19" s="128"/>
      <c r="U19" s="128"/>
      <c r="V19" s="129" t="str">
        <f t="shared" si="18"/>
        <v/>
      </c>
      <c r="W19" s="129" t="str">
        <f t="shared" si="19"/>
        <v/>
      </c>
      <c r="X19" s="171">
        <f t="shared" si="22"/>
        <v>0</v>
      </c>
      <c r="Y19" s="171">
        <f t="shared" si="22"/>
        <v>0</v>
      </c>
      <c r="Z19" s="171">
        <f t="shared" si="22"/>
        <v>0</v>
      </c>
      <c r="AA19" s="186">
        <f t="shared" si="8"/>
        <v>0</v>
      </c>
      <c r="AB19" s="173">
        <f t="shared" si="13"/>
        <v>0</v>
      </c>
      <c r="AC19" s="79"/>
      <c r="AD19" s="79"/>
      <c r="AE19" s="76"/>
      <c r="AF19" s="76"/>
      <c r="AG19" s="76"/>
      <c r="AH19" s="76"/>
    </row>
    <row r="20" spans="1:34" ht="17" thickBot="1">
      <c r="A20" s="1"/>
      <c r="B20" s="43">
        <f t="shared" si="14"/>
        <v>45333</v>
      </c>
      <c r="C20" s="32">
        <f t="shared" si="20"/>
        <v>45333</v>
      </c>
      <c r="D20" s="44">
        <f t="shared" ca="1" si="1"/>
        <v>-42</v>
      </c>
      <c r="E20" s="93" t="s">
        <v>7</v>
      </c>
      <c r="F20" s="45"/>
      <c r="G20" s="46"/>
      <c r="H20" s="46"/>
      <c r="I20" s="151"/>
      <c r="J20" s="46"/>
      <c r="K20" s="152" t="str">
        <f t="shared" si="15"/>
        <v/>
      </c>
      <c r="L20" s="46"/>
      <c r="M20" s="46" t="str">
        <f t="shared" si="16"/>
        <v/>
      </c>
      <c r="N20" s="303"/>
      <c r="O20" s="171">
        <f t="shared" si="3"/>
        <v>1225.1230433060916</v>
      </c>
      <c r="P20" s="172">
        <f t="shared" si="17"/>
        <v>35524.492173224367</v>
      </c>
      <c r="Q20" s="128">
        <f t="shared" si="4"/>
        <v>35524.492173224367</v>
      </c>
      <c r="R20" s="195">
        <f t="shared" si="21"/>
        <v>0</v>
      </c>
      <c r="S20" s="195" t="str">
        <f t="shared" si="12"/>
        <v/>
      </c>
      <c r="T20" s="128"/>
      <c r="U20" s="128"/>
      <c r="V20" s="129" t="str">
        <f t="shared" si="18"/>
        <v/>
      </c>
      <c r="W20" s="129" t="str">
        <f t="shared" si="19"/>
        <v/>
      </c>
      <c r="X20" s="171">
        <f t="shared" si="22"/>
        <v>0</v>
      </c>
      <c r="Y20" s="171">
        <f t="shared" si="22"/>
        <v>0</v>
      </c>
      <c r="Z20" s="171">
        <f t="shared" si="22"/>
        <v>0</v>
      </c>
      <c r="AA20" s="186">
        <f t="shared" si="8"/>
        <v>0</v>
      </c>
      <c r="AB20" s="173">
        <f t="shared" si="13"/>
        <v>0</v>
      </c>
      <c r="AC20" s="79"/>
      <c r="AD20" s="79"/>
      <c r="AE20" s="76"/>
      <c r="AF20" s="76"/>
      <c r="AG20" s="76"/>
      <c r="AH20" s="76"/>
    </row>
    <row r="21" spans="1:34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71" t="str">
        <f t="shared" si="3"/>
        <v/>
      </c>
      <c r="P21" s="172"/>
      <c r="Q21" s="128">
        <f t="shared" si="4"/>
        <v>0</v>
      </c>
      <c r="R21" s="267"/>
      <c r="S21" s="195" t="str">
        <f t="shared" si="12"/>
        <v/>
      </c>
      <c r="T21" s="188"/>
      <c r="U21" s="188"/>
      <c r="V21" s="188"/>
      <c r="W21" s="188"/>
      <c r="X21" s="95"/>
      <c r="Y21" s="95"/>
      <c r="Z21" s="95"/>
      <c r="AA21" s="186">
        <f t="shared" si="8"/>
        <v>0</v>
      </c>
      <c r="AB21" s="173">
        <f t="shared" si="13"/>
        <v>0</v>
      </c>
      <c r="AC21" s="79"/>
      <c r="AD21" s="79"/>
      <c r="AE21" s="76"/>
      <c r="AF21" s="76"/>
      <c r="AG21" s="76"/>
      <c r="AH21" s="76"/>
    </row>
    <row r="22" spans="1:34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5.328248066711966</v>
      </c>
      <c r="G22" s="53">
        <f>H22*1.0936113</f>
        <v>9377.7168975000004</v>
      </c>
      <c r="H22" s="104">
        <f>INT(SUM($O14:$O20))</f>
        <v>8575</v>
      </c>
      <c r="I22" s="120"/>
      <c r="J22" s="499"/>
      <c r="K22" s="500"/>
      <c r="L22" s="500"/>
      <c r="M22" s="500"/>
      <c r="N22" s="500"/>
      <c r="O22" s="171" t="str">
        <f t="shared" si="3"/>
        <v/>
      </c>
      <c r="P22" s="172"/>
      <c r="Q22" s="128">
        <f t="shared" si="4"/>
        <v>0</v>
      </c>
      <c r="R22" s="171"/>
      <c r="S22" s="195" t="str">
        <f t="shared" si="12"/>
        <v/>
      </c>
      <c r="T22" s="189"/>
      <c r="U22" s="189"/>
      <c r="V22" s="189"/>
      <c r="W22" s="189"/>
      <c r="X22" s="95"/>
      <c r="Y22" s="95"/>
      <c r="Z22" s="95"/>
      <c r="AA22" s="186">
        <f t="shared" si="8"/>
        <v>0</v>
      </c>
      <c r="AB22" s="173">
        <f t="shared" si="13"/>
        <v>0</v>
      </c>
      <c r="AC22" s="79"/>
      <c r="AD22" s="79"/>
      <c r="AE22" s="76"/>
      <c r="AF22" s="76"/>
      <c r="AG22" s="76"/>
      <c r="AH22" s="76"/>
    </row>
    <row r="23" spans="1:34" ht="17" thickTop="1">
      <c r="A23" s="1"/>
      <c r="B23" s="47">
        <f t="shared" ref="B23:B29" si="23">IF(B$2&gt;C23,0,C23)</f>
        <v>45334</v>
      </c>
      <c r="C23" s="31">
        <f>C20+1</f>
        <v>45334</v>
      </c>
      <c r="D23" s="18">
        <f t="shared" ca="1" si="1"/>
        <v>-43</v>
      </c>
      <c r="E23" s="94" t="s">
        <v>1</v>
      </c>
      <c r="F23" s="45"/>
      <c r="G23" s="46"/>
      <c r="H23" s="46"/>
      <c r="I23" s="151"/>
      <c r="J23" s="46"/>
      <c r="K23" s="152" t="str">
        <f t="shared" ref="K23:K29" si="24">IF(R23=0,"",IF(L23="","",J23))</f>
        <v/>
      </c>
      <c r="L23" s="101"/>
      <c r="M23" s="46" t="str">
        <f t="shared" ref="M23:M29" si="25">IF(R23=0,"",IF(J23="","",L23))</f>
        <v/>
      </c>
      <c r="N23" s="301"/>
      <c r="O23" s="171">
        <f t="shared" si="3"/>
        <v>1225.1230433060916</v>
      </c>
      <c r="P23" s="172">
        <f t="shared" ref="P23:P29" si="26">H$56</f>
        <v>35524.492173224367</v>
      </c>
      <c r="Q23" s="128">
        <f t="shared" si="4"/>
        <v>35524.492173224367</v>
      </c>
      <c r="R23" s="195">
        <f>IF(R$2=3,H23+G23/1.0936133+F23/0.0006213712,IF(R$2=2,H23*1.0936133+G23+F23/0.0005681818,IF(R$2=1,H23*0.0005681818*1.0936133+G23*0.0005681818+F23,"")))</f>
        <v>0</v>
      </c>
      <c r="S23" s="195" t="str">
        <f t="shared" si="12"/>
        <v/>
      </c>
      <c r="T23" s="128"/>
      <c r="U23" s="128"/>
      <c r="V23" s="129" t="str">
        <f t="shared" ref="V23:V29" si="27">IF(L23="","",IF(R23=0,"",IF(B23=0,"",IF($R$2=3,R23/L23*60/1000,IF($R$2=2,R23/L23*60/1760,IF($R$2=1,R23/L23*60,""))))))</f>
        <v/>
      </c>
      <c r="W23" s="129" t="str">
        <f t="shared" ref="W23:W29" si="28">IF(R23=0,"",IF(L23="","",V23*L23))</f>
        <v/>
      </c>
      <c r="X23" s="171">
        <f>F23+X20</f>
        <v>0</v>
      </c>
      <c r="Y23" s="171">
        <f>G23+Y20</f>
        <v>0</v>
      </c>
      <c r="Z23" s="171">
        <f>H23+Z20</f>
        <v>0</v>
      </c>
      <c r="AA23" s="186">
        <f t="shared" si="8"/>
        <v>0</v>
      </c>
      <c r="AB23" s="173">
        <f t="shared" si="13"/>
        <v>0</v>
      </c>
      <c r="AC23" s="79"/>
      <c r="AD23" s="79"/>
      <c r="AE23" s="76"/>
      <c r="AF23" s="76"/>
      <c r="AG23" s="76"/>
      <c r="AH23" s="76"/>
    </row>
    <row r="24" spans="1:34">
      <c r="A24" s="1"/>
      <c r="B24" s="4">
        <f t="shared" si="23"/>
        <v>45335</v>
      </c>
      <c r="C24" s="29">
        <f t="shared" ref="C24:C29" si="29">C23+1</f>
        <v>45335</v>
      </c>
      <c r="D24" s="6">
        <f t="shared" ca="1" si="1"/>
        <v>-44</v>
      </c>
      <c r="E24" s="90" t="s">
        <v>2</v>
      </c>
      <c r="F24" s="45"/>
      <c r="G24" s="46"/>
      <c r="H24" s="46"/>
      <c r="I24" s="151"/>
      <c r="J24" s="46"/>
      <c r="K24" s="152" t="str">
        <f t="shared" si="24"/>
        <v/>
      </c>
      <c r="L24" s="46"/>
      <c r="M24" s="46" t="str">
        <f t="shared" si="25"/>
        <v/>
      </c>
      <c r="N24" s="301"/>
      <c r="O24" s="171">
        <f t="shared" si="3"/>
        <v>1225.1230433060916</v>
      </c>
      <c r="P24" s="172">
        <f t="shared" si="26"/>
        <v>35524.492173224367</v>
      </c>
      <c r="Q24" s="128">
        <f t="shared" si="4"/>
        <v>35524.492173224367</v>
      </c>
      <c r="R24" s="195">
        <f t="shared" ref="R24:R29" si="30">IF(R$2=3,H24+G24/1.0936133+F24/0.0006213712,IF(R$2=2,H24*1.0936133+G24+F24/0.0005681818,IF(R$2=1,H24*0.0005681818*1.0936133+G24*0.0005681818+F24,"")))</f>
        <v>0</v>
      </c>
      <c r="S24" s="195" t="str">
        <f t="shared" si="12"/>
        <v/>
      </c>
      <c r="T24" s="128"/>
      <c r="U24" s="128"/>
      <c r="V24" s="129" t="str">
        <f t="shared" si="27"/>
        <v/>
      </c>
      <c r="W24" s="129" t="str">
        <f t="shared" si="28"/>
        <v/>
      </c>
      <c r="X24" s="171">
        <f t="shared" ref="X24:Z29" si="31">F24+X23</f>
        <v>0</v>
      </c>
      <c r="Y24" s="171">
        <f t="shared" si="31"/>
        <v>0</v>
      </c>
      <c r="Z24" s="171">
        <f t="shared" si="31"/>
        <v>0</v>
      </c>
      <c r="AA24" s="186">
        <f t="shared" si="8"/>
        <v>0</v>
      </c>
      <c r="AB24" s="173">
        <f t="shared" si="13"/>
        <v>0</v>
      </c>
      <c r="AC24" s="79"/>
      <c r="AD24" s="79"/>
      <c r="AE24" s="76"/>
      <c r="AF24" s="76"/>
      <c r="AG24" s="76"/>
      <c r="AH24" s="76"/>
    </row>
    <row r="25" spans="1:34">
      <c r="A25" s="1"/>
      <c r="B25" s="4">
        <f t="shared" si="23"/>
        <v>45336</v>
      </c>
      <c r="C25" s="29">
        <f t="shared" si="29"/>
        <v>45336</v>
      </c>
      <c r="D25" s="6">
        <f t="shared" ca="1" si="1"/>
        <v>-45</v>
      </c>
      <c r="E25" s="90" t="s">
        <v>3</v>
      </c>
      <c r="F25" s="45"/>
      <c r="G25" s="46"/>
      <c r="H25" s="46"/>
      <c r="I25" s="151"/>
      <c r="J25" s="46"/>
      <c r="K25" s="152" t="str">
        <f t="shared" si="24"/>
        <v/>
      </c>
      <c r="L25" s="46"/>
      <c r="M25" s="46" t="str">
        <f t="shared" si="25"/>
        <v/>
      </c>
      <c r="N25" s="301"/>
      <c r="O25" s="171">
        <f t="shared" si="3"/>
        <v>1225.1230433060916</v>
      </c>
      <c r="P25" s="172">
        <f t="shared" si="26"/>
        <v>35524.492173224367</v>
      </c>
      <c r="Q25" s="128">
        <f t="shared" si="4"/>
        <v>35524.492173224367</v>
      </c>
      <c r="R25" s="195">
        <f t="shared" si="30"/>
        <v>0</v>
      </c>
      <c r="S25" s="195" t="str">
        <f t="shared" si="12"/>
        <v/>
      </c>
      <c r="T25" s="128"/>
      <c r="U25" s="128"/>
      <c r="V25" s="129" t="str">
        <f t="shared" si="27"/>
        <v/>
      </c>
      <c r="W25" s="129" t="str">
        <f t="shared" si="28"/>
        <v/>
      </c>
      <c r="X25" s="171">
        <f t="shared" si="31"/>
        <v>0</v>
      </c>
      <c r="Y25" s="171">
        <f t="shared" si="31"/>
        <v>0</v>
      </c>
      <c r="Z25" s="171">
        <f t="shared" si="31"/>
        <v>0</v>
      </c>
      <c r="AA25" s="186">
        <f t="shared" si="8"/>
        <v>0</v>
      </c>
      <c r="AB25" s="173">
        <f t="shared" si="13"/>
        <v>0</v>
      </c>
      <c r="AC25" s="79"/>
      <c r="AD25" s="79"/>
      <c r="AE25" s="76"/>
      <c r="AF25" s="76"/>
      <c r="AG25" s="76"/>
      <c r="AH25" s="76"/>
    </row>
    <row r="26" spans="1:34">
      <c r="A26" s="1"/>
      <c r="B26" s="4">
        <f t="shared" si="23"/>
        <v>45337</v>
      </c>
      <c r="C26" s="29">
        <f t="shared" si="29"/>
        <v>45337</v>
      </c>
      <c r="D26" s="6">
        <f t="shared" ca="1" si="1"/>
        <v>-46</v>
      </c>
      <c r="E26" s="90" t="s">
        <v>4</v>
      </c>
      <c r="F26" s="45"/>
      <c r="G26" s="46"/>
      <c r="H26" s="46"/>
      <c r="I26" s="151"/>
      <c r="J26" s="46"/>
      <c r="K26" s="152" t="str">
        <f t="shared" si="24"/>
        <v/>
      </c>
      <c r="L26" s="46"/>
      <c r="M26" s="46" t="str">
        <f t="shared" si="25"/>
        <v/>
      </c>
      <c r="N26" s="301"/>
      <c r="O26" s="171">
        <f t="shared" si="3"/>
        <v>1225.1230433060916</v>
      </c>
      <c r="P26" s="172">
        <f t="shared" si="26"/>
        <v>35524.492173224367</v>
      </c>
      <c r="Q26" s="128">
        <f t="shared" si="4"/>
        <v>35524.492173224367</v>
      </c>
      <c r="R26" s="195">
        <f t="shared" si="30"/>
        <v>0</v>
      </c>
      <c r="S26" s="195" t="str">
        <f t="shared" si="12"/>
        <v/>
      </c>
      <c r="T26" s="128"/>
      <c r="U26" s="128"/>
      <c r="V26" s="129" t="str">
        <f t="shared" si="27"/>
        <v/>
      </c>
      <c r="W26" s="129" t="str">
        <f t="shared" si="28"/>
        <v/>
      </c>
      <c r="X26" s="171">
        <f t="shared" si="31"/>
        <v>0</v>
      </c>
      <c r="Y26" s="171">
        <f t="shared" si="31"/>
        <v>0</v>
      </c>
      <c r="Z26" s="171">
        <f t="shared" si="31"/>
        <v>0</v>
      </c>
      <c r="AA26" s="186">
        <f t="shared" si="8"/>
        <v>0</v>
      </c>
      <c r="AB26" s="173">
        <f t="shared" si="13"/>
        <v>0</v>
      </c>
      <c r="AC26" s="79"/>
      <c r="AD26" s="79"/>
      <c r="AE26" s="76"/>
      <c r="AF26" s="76"/>
      <c r="AG26" s="76"/>
      <c r="AH26" s="76"/>
    </row>
    <row r="27" spans="1:34">
      <c r="A27" s="1"/>
      <c r="B27" s="4">
        <f t="shared" si="23"/>
        <v>45338</v>
      </c>
      <c r="C27" s="29">
        <f t="shared" si="29"/>
        <v>45338</v>
      </c>
      <c r="D27" s="6">
        <f t="shared" ca="1" si="1"/>
        <v>-47</v>
      </c>
      <c r="E27" s="90" t="s">
        <v>5</v>
      </c>
      <c r="F27" s="45"/>
      <c r="G27" s="46"/>
      <c r="H27" s="46"/>
      <c r="I27" s="151"/>
      <c r="J27" s="46"/>
      <c r="K27" s="152" t="str">
        <f t="shared" si="24"/>
        <v/>
      </c>
      <c r="L27" s="46"/>
      <c r="M27" s="46" t="str">
        <f t="shared" si="25"/>
        <v/>
      </c>
      <c r="N27" s="301"/>
      <c r="O27" s="171">
        <f t="shared" si="3"/>
        <v>1225.1230433060916</v>
      </c>
      <c r="P27" s="172">
        <f t="shared" si="26"/>
        <v>35524.492173224367</v>
      </c>
      <c r="Q27" s="128">
        <f t="shared" si="4"/>
        <v>35524.492173224367</v>
      </c>
      <c r="R27" s="195">
        <f t="shared" si="30"/>
        <v>0</v>
      </c>
      <c r="S27" s="195" t="str">
        <f t="shared" si="12"/>
        <v/>
      </c>
      <c r="T27" s="128"/>
      <c r="U27" s="128"/>
      <c r="V27" s="129" t="str">
        <f t="shared" si="27"/>
        <v/>
      </c>
      <c r="W27" s="129" t="str">
        <f t="shared" si="28"/>
        <v/>
      </c>
      <c r="X27" s="171">
        <f t="shared" si="31"/>
        <v>0</v>
      </c>
      <c r="Y27" s="171">
        <f t="shared" si="31"/>
        <v>0</v>
      </c>
      <c r="Z27" s="171">
        <f t="shared" si="31"/>
        <v>0</v>
      </c>
      <c r="AA27" s="186">
        <f t="shared" si="8"/>
        <v>0</v>
      </c>
      <c r="AB27" s="173">
        <f t="shared" si="13"/>
        <v>0</v>
      </c>
      <c r="AC27" s="79"/>
      <c r="AD27" s="79"/>
      <c r="AE27" s="76"/>
      <c r="AF27" s="76"/>
      <c r="AG27" s="76"/>
      <c r="AH27" s="76"/>
    </row>
    <row r="28" spans="1:34">
      <c r="A28" s="1"/>
      <c r="B28" s="4">
        <f t="shared" si="23"/>
        <v>45339</v>
      </c>
      <c r="C28" s="29">
        <f t="shared" si="29"/>
        <v>45339</v>
      </c>
      <c r="D28" s="6">
        <f t="shared" ca="1" si="1"/>
        <v>-48</v>
      </c>
      <c r="E28" s="90" t="s">
        <v>6</v>
      </c>
      <c r="F28" s="45"/>
      <c r="G28" s="46"/>
      <c r="H28" s="46"/>
      <c r="I28" s="151"/>
      <c r="J28" s="46"/>
      <c r="K28" s="152" t="str">
        <f t="shared" si="24"/>
        <v/>
      </c>
      <c r="L28" s="46"/>
      <c r="M28" s="46" t="str">
        <f t="shared" si="25"/>
        <v/>
      </c>
      <c r="N28" s="301"/>
      <c r="O28" s="171">
        <f t="shared" si="3"/>
        <v>1225.1230433060916</v>
      </c>
      <c r="P28" s="172">
        <f t="shared" si="26"/>
        <v>35524.492173224367</v>
      </c>
      <c r="Q28" s="128">
        <f t="shared" si="4"/>
        <v>35524.492173224367</v>
      </c>
      <c r="R28" s="195">
        <f t="shared" si="30"/>
        <v>0</v>
      </c>
      <c r="S28" s="195" t="str">
        <f t="shared" si="12"/>
        <v/>
      </c>
      <c r="T28" s="128"/>
      <c r="U28" s="128"/>
      <c r="V28" s="129" t="str">
        <f t="shared" si="27"/>
        <v/>
      </c>
      <c r="W28" s="129" t="str">
        <f t="shared" si="28"/>
        <v/>
      </c>
      <c r="X28" s="171">
        <f t="shared" si="31"/>
        <v>0</v>
      </c>
      <c r="Y28" s="171">
        <f t="shared" si="31"/>
        <v>0</v>
      </c>
      <c r="Z28" s="171">
        <f t="shared" si="31"/>
        <v>0</v>
      </c>
      <c r="AA28" s="186">
        <f t="shared" si="8"/>
        <v>0</v>
      </c>
      <c r="AB28" s="173">
        <f t="shared" si="13"/>
        <v>0</v>
      </c>
      <c r="AC28" s="79"/>
      <c r="AD28" s="79"/>
      <c r="AE28" s="76"/>
      <c r="AF28" s="76"/>
      <c r="AG28" s="76"/>
      <c r="AH28" s="76"/>
    </row>
    <row r="29" spans="1:34" ht="17" thickBot="1">
      <c r="A29" s="1"/>
      <c r="B29" s="43">
        <f t="shared" si="23"/>
        <v>45340</v>
      </c>
      <c r="C29" s="32">
        <f t="shared" si="29"/>
        <v>45340</v>
      </c>
      <c r="D29" s="44">
        <f t="shared" ca="1" si="1"/>
        <v>-49</v>
      </c>
      <c r="E29" s="93" t="s">
        <v>7</v>
      </c>
      <c r="F29" s="45"/>
      <c r="G29" s="46"/>
      <c r="H29" s="46"/>
      <c r="I29" s="151"/>
      <c r="J29" s="46"/>
      <c r="K29" s="152" t="str">
        <f t="shared" si="24"/>
        <v/>
      </c>
      <c r="L29" s="46"/>
      <c r="M29" s="46" t="str">
        <f t="shared" si="25"/>
        <v/>
      </c>
      <c r="N29" s="301"/>
      <c r="O29" s="171">
        <f t="shared" si="3"/>
        <v>1225.1230433060916</v>
      </c>
      <c r="P29" s="172">
        <f t="shared" si="26"/>
        <v>35524.492173224367</v>
      </c>
      <c r="Q29" s="128">
        <f t="shared" si="4"/>
        <v>35524.492173224367</v>
      </c>
      <c r="R29" s="195">
        <f t="shared" si="30"/>
        <v>0</v>
      </c>
      <c r="S29" s="195" t="str">
        <f t="shared" si="12"/>
        <v/>
      </c>
      <c r="T29" s="128"/>
      <c r="U29" s="128"/>
      <c r="V29" s="129" t="str">
        <f t="shared" si="27"/>
        <v/>
      </c>
      <c r="W29" s="129" t="str">
        <f t="shared" si="28"/>
        <v/>
      </c>
      <c r="X29" s="171">
        <f t="shared" si="31"/>
        <v>0</v>
      </c>
      <c r="Y29" s="171">
        <f t="shared" si="31"/>
        <v>0</v>
      </c>
      <c r="Z29" s="171">
        <f t="shared" si="31"/>
        <v>0</v>
      </c>
      <c r="AA29" s="186">
        <f t="shared" si="8"/>
        <v>0</v>
      </c>
      <c r="AB29" s="173">
        <f t="shared" si="13"/>
        <v>0</v>
      </c>
      <c r="AC29" s="79"/>
      <c r="AD29" s="79"/>
      <c r="AE29" s="76"/>
      <c r="AF29" s="76"/>
      <c r="AG29" s="76"/>
      <c r="AH29" s="76"/>
    </row>
    <row r="30" spans="1:34" ht="17" customHeight="1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71" t="str">
        <f t="shared" si="3"/>
        <v/>
      </c>
      <c r="P30" s="172"/>
      <c r="Q30" s="128">
        <f t="shared" si="4"/>
        <v>0</v>
      </c>
      <c r="R30" s="267"/>
      <c r="S30" s="195" t="str">
        <f t="shared" si="12"/>
        <v/>
      </c>
      <c r="T30" s="188"/>
      <c r="U30" s="188"/>
      <c r="V30" s="188"/>
      <c r="W30" s="188"/>
      <c r="X30" s="95"/>
      <c r="Y30" s="95"/>
      <c r="Z30" s="95"/>
      <c r="AA30" s="186">
        <f t="shared" si="8"/>
        <v>0</v>
      </c>
      <c r="AB30" s="173">
        <f t="shared" si="13"/>
        <v>0</v>
      </c>
      <c r="AC30" s="79"/>
      <c r="AD30" s="79"/>
      <c r="AE30" s="76"/>
      <c r="AF30" s="76"/>
      <c r="AG30" s="76"/>
      <c r="AH30" s="76"/>
    </row>
    <row r="31" spans="1:34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5.328248066711966</v>
      </c>
      <c r="G31" s="53">
        <f>H31*1.0936113</f>
        <v>9377.7168975000004</v>
      </c>
      <c r="H31" s="104">
        <f>INT(SUM($O23:$O29))</f>
        <v>8575</v>
      </c>
      <c r="I31" s="120"/>
      <c r="J31" s="503"/>
      <c r="K31" s="504"/>
      <c r="L31" s="504"/>
      <c r="M31" s="271"/>
      <c r="N31" s="506"/>
      <c r="O31" s="171" t="str">
        <f t="shared" si="3"/>
        <v/>
      </c>
      <c r="P31" s="172"/>
      <c r="Q31" s="128">
        <f t="shared" si="4"/>
        <v>0</v>
      </c>
      <c r="R31" s="171"/>
      <c r="S31" s="195" t="str">
        <f t="shared" si="12"/>
        <v/>
      </c>
      <c r="T31" s="189"/>
      <c r="U31" s="189"/>
      <c r="V31" s="189"/>
      <c r="W31" s="189"/>
      <c r="X31" s="95"/>
      <c r="Y31" s="95"/>
      <c r="Z31" s="95"/>
      <c r="AA31" s="186">
        <f t="shared" si="8"/>
        <v>0</v>
      </c>
      <c r="AB31" s="173">
        <f t="shared" si="13"/>
        <v>0</v>
      </c>
      <c r="AC31" s="79"/>
      <c r="AD31" s="79"/>
      <c r="AE31" s="76"/>
      <c r="AF31" s="76"/>
      <c r="AG31" s="76"/>
      <c r="AH31" s="76"/>
    </row>
    <row r="32" spans="1:34" ht="17" thickTop="1">
      <c r="A32" s="1"/>
      <c r="B32" s="47">
        <f t="shared" ref="B32:B38" si="32">IF(B$2&gt;C32,0,C32)</f>
        <v>45341</v>
      </c>
      <c r="C32" s="31">
        <f>C29+1</f>
        <v>45341</v>
      </c>
      <c r="D32" s="18">
        <f t="shared" ca="1" si="1"/>
        <v>-50</v>
      </c>
      <c r="E32" s="94" t="s">
        <v>1</v>
      </c>
      <c r="F32" s="45"/>
      <c r="G32" s="46"/>
      <c r="H32" s="46"/>
      <c r="I32" s="151"/>
      <c r="J32" s="46"/>
      <c r="K32" s="152" t="str">
        <f t="shared" ref="K32:K38" si="33">IF(R32=0,"",IF(L32="","",J32))</f>
        <v/>
      </c>
      <c r="L32" s="121"/>
      <c r="M32" s="46" t="str">
        <f>IF(R32=0,"",IF(J32="","",L32))</f>
        <v/>
      </c>
      <c r="N32" s="301"/>
      <c r="O32" s="171">
        <f t="shared" si="3"/>
        <v>1225.1230433060916</v>
      </c>
      <c r="P32" s="172">
        <f t="shared" ref="P32:P38" si="34">H$56</f>
        <v>35524.492173224367</v>
      </c>
      <c r="Q32" s="128">
        <f t="shared" si="4"/>
        <v>35524.492173224367</v>
      </c>
      <c r="R32" s="195">
        <f>IF(R$2=3,H32+G32/1.0936133+F32/0.0006213712,IF(R$2=2,H32*1.0936133+G32+F32/0.0005681818,IF(R$2=1,H32*0.0005681818*1.0936133+G32*0.0005681818+F32,"")))</f>
        <v>0</v>
      </c>
      <c r="S32" s="195" t="str">
        <f t="shared" si="12"/>
        <v/>
      </c>
      <c r="T32" s="128"/>
      <c r="U32" s="128"/>
      <c r="V32" s="129" t="str">
        <f t="shared" ref="V32:V38" si="35">IF(L32="","",IF(R32=0,"",IF(B32=0,"",IF($R$2=3,R32/L32*60/1000,IF($R$2=2,R32/L32*60/1760,IF($R$2=1,R32/L32*60,""))))))</f>
        <v/>
      </c>
      <c r="W32" s="129" t="str">
        <f t="shared" ref="W32:W38" si="36">IF(R32=0,"",IF(L32="","",V32*L32))</f>
        <v/>
      </c>
      <c r="X32" s="171">
        <f>F32+X29</f>
        <v>0</v>
      </c>
      <c r="Y32" s="171">
        <f>G32+Y29</f>
        <v>0</v>
      </c>
      <c r="Z32" s="171">
        <f>H32+Z29</f>
        <v>0</v>
      </c>
      <c r="AA32" s="186">
        <f t="shared" si="8"/>
        <v>0</v>
      </c>
      <c r="AB32" s="173">
        <f t="shared" si="13"/>
        <v>0</v>
      </c>
      <c r="AC32" s="79"/>
      <c r="AD32" s="79"/>
      <c r="AE32" s="76"/>
      <c r="AF32" s="76"/>
      <c r="AG32" s="76"/>
      <c r="AH32" s="76"/>
    </row>
    <row r="33" spans="1:34">
      <c r="A33" s="1"/>
      <c r="B33" s="4">
        <f t="shared" si="32"/>
        <v>45342</v>
      </c>
      <c r="C33" s="29">
        <f t="shared" ref="C33:C38" si="37">C32+1</f>
        <v>45342</v>
      </c>
      <c r="D33" s="6">
        <f t="shared" ca="1" si="1"/>
        <v>-51</v>
      </c>
      <c r="E33" s="90" t="s">
        <v>2</v>
      </c>
      <c r="F33" s="45"/>
      <c r="G33" s="46"/>
      <c r="H33" s="46"/>
      <c r="I33" s="151"/>
      <c r="J33" s="46"/>
      <c r="K33" s="152" t="str">
        <f t="shared" si="33"/>
        <v/>
      </c>
      <c r="L33" s="46"/>
      <c r="M33" s="46" t="str">
        <f t="shared" ref="M33:M38" si="38">IF(R33=0,"",IF(J33="","",L33))</f>
        <v/>
      </c>
      <c r="N33" s="301"/>
      <c r="O33" s="171">
        <f t="shared" si="3"/>
        <v>1225.1230433060916</v>
      </c>
      <c r="P33" s="172">
        <f t="shared" si="34"/>
        <v>35524.492173224367</v>
      </c>
      <c r="Q33" s="128">
        <f t="shared" si="4"/>
        <v>35524.492173224367</v>
      </c>
      <c r="R33" s="195">
        <f t="shared" ref="R33:R38" si="39">IF(R$2=3,H33+G33/1.0936133+F33/0.0006213712,IF(R$2=2,H33*1.0936133+G33+F33/0.0005681818,IF(R$2=1,H33*0.0005681818*1.0936133+G33*0.0005681818+F33,"")))</f>
        <v>0</v>
      </c>
      <c r="S33" s="195" t="str">
        <f t="shared" si="12"/>
        <v/>
      </c>
      <c r="T33" s="128"/>
      <c r="U33" s="128"/>
      <c r="V33" s="129" t="str">
        <f t="shared" si="35"/>
        <v/>
      </c>
      <c r="W33" s="129" t="str">
        <f t="shared" si="36"/>
        <v/>
      </c>
      <c r="X33" s="171">
        <f t="shared" ref="X33:Z38" si="40">F33+X32</f>
        <v>0</v>
      </c>
      <c r="Y33" s="171">
        <f t="shared" si="40"/>
        <v>0</v>
      </c>
      <c r="Z33" s="171">
        <f t="shared" si="40"/>
        <v>0</v>
      </c>
      <c r="AA33" s="186">
        <f t="shared" si="8"/>
        <v>0</v>
      </c>
      <c r="AB33" s="173">
        <f t="shared" si="13"/>
        <v>0</v>
      </c>
      <c r="AC33" s="79"/>
      <c r="AD33" s="79"/>
      <c r="AE33" s="76"/>
      <c r="AF33" s="76"/>
      <c r="AG33" s="76"/>
      <c r="AH33" s="76"/>
    </row>
    <row r="34" spans="1:34">
      <c r="A34" s="1"/>
      <c r="B34" s="4">
        <f t="shared" si="32"/>
        <v>45343</v>
      </c>
      <c r="C34" s="29">
        <f t="shared" si="37"/>
        <v>45343</v>
      </c>
      <c r="D34" s="6">
        <f t="shared" ca="1" si="1"/>
        <v>-52</v>
      </c>
      <c r="E34" s="90" t="s">
        <v>3</v>
      </c>
      <c r="F34" s="45"/>
      <c r="G34" s="46"/>
      <c r="H34" s="46"/>
      <c r="I34" s="151"/>
      <c r="J34" s="46"/>
      <c r="K34" s="152" t="str">
        <f t="shared" si="33"/>
        <v/>
      </c>
      <c r="L34" s="46"/>
      <c r="M34" s="46" t="str">
        <f t="shared" si="38"/>
        <v/>
      </c>
      <c r="N34" s="301"/>
      <c r="O34" s="171">
        <f t="shared" si="3"/>
        <v>1225.1230433060916</v>
      </c>
      <c r="P34" s="172">
        <f t="shared" si="34"/>
        <v>35524.492173224367</v>
      </c>
      <c r="Q34" s="128">
        <f t="shared" si="4"/>
        <v>35524.492173224367</v>
      </c>
      <c r="R34" s="195">
        <f t="shared" si="39"/>
        <v>0</v>
      </c>
      <c r="S34" s="195" t="str">
        <f t="shared" si="12"/>
        <v/>
      </c>
      <c r="T34" s="128"/>
      <c r="U34" s="128"/>
      <c r="V34" s="129" t="str">
        <f t="shared" si="35"/>
        <v/>
      </c>
      <c r="W34" s="129" t="str">
        <f t="shared" si="36"/>
        <v/>
      </c>
      <c r="X34" s="171">
        <f t="shared" si="40"/>
        <v>0</v>
      </c>
      <c r="Y34" s="171">
        <f t="shared" si="40"/>
        <v>0</v>
      </c>
      <c r="Z34" s="171">
        <f t="shared" si="40"/>
        <v>0</v>
      </c>
      <c r="AA34" s="186">
        <f t="shared" si="8"/>
        <v>0</v>
      </c>
      <c r="AB34" s="173">
        <f t="shared" si="13"/>
        <v>0</v>
      </c>
      <c r="AC34" s="79"/>
      <c r="AD34" s="79"/>
      <c r="AE34" s="76"/>
      <c r="AF34" s="76"/>
      <c r="AG34" s="76"/>
      <c r="AH34" s="76"/>
    </row>
    <row r="35" spans="1:34">
      <c r="A35" s="1"/>
      <c r="B35" s="4">
        <f t="shared" si="32"/>
        <v>45344</v>
      </c>
      <c r="C35" s="29">
        <f t="shared" si="37"/>
        <v>45344</v>
      </c>
      <c r="D35" s="6">
        <f t="shared" ca="1" si="1"/>
        <v>-53</v>
      </c>
      <c r="E35" s="90" t="s">
        <v>4</v>
      </c>
      <c r="F35" s="45"/>
      <c r="G35" s="46"/>
      <c r="H35" s="46"/>
      <c r="I35" s="151"/>
      <c r="J35" s="46"/>
      <c r="K35" s="152" t="str">
        <f t="shared" si="33"/>
        <v/>
      </c>
      <c r="L35" s="46"/>
      <c r="M35" s="46" t="str">
        <f t="shared" si="38"/>
        <v/>
      </c>
      <c r="N35" s="310"/>
      <c r="O35" s="171">
        <f t="shared" si="3"/>
        <v>1225.1230433060916</v>
      </c>
      <c r="P35" s="172">
        <f t="shared" si="34"/>
        <v>35524.492173224367</v>
      </c>
      <c r="Q35" s="128">
        <f t="shared" si="4"/>
        <v>35524.492173224367</v>
      </c>
      <c r="R35" s="195">
        <f t="shared" si="39"/>
        <v>0</v>
      </c>
      <c r="S35" s="195" t="str">
        <f t="shared" si="12"/>
        <v/>
      </c>
      <c r="T35" s="128"/>
      <c r="U35" s="128"/>
      <c r="V35" s="129" t="str">
        <f t="shared" si="35"/>
        <v/>
      </c>
      <c r="W35" s="129" t="str">
        <f t="shared" si="36"/>
        <v/>
      </c>
      <c r="X35" s="171">
        <f t="shared" si="40"/>
        <v>0</v>
      </c>
      <c r="Y35" s="171">
        <f t="shared" si="40"/>
        <v>0</v>
      </c>
      <c r="Z35" s="171">
        <f t="shared" si="40"/>
        <v>0</v>
      </c>
      <c r="AA35" s="186">
        <f t="shared" si="8"/>
        <v>0</v>
      </c>
      <c r="AB35" s="173">
        <f t="shared" si="13"/>
        <v>0</v>
      </c>
      <c r="AC35" s="79"/>
      <c r="AD35" s="79"/>
      <c r="AE35" s="76"/>
      <c r="AF35" s="76"/>
      <c r="AG35" s="76"/>
      <c r="AH35" s="76"/>
    </row>
    <row r="36" spans="1:34">
      <c r="A36" s="1"/>
      <c r="B36" s="4">
        <f t="shared" si="32"/>
        <v>45345</v>
      </c>
      <c r="C36" s="29">
        <f t="shared" si="37"/>
        <v>45345</v>
      </c>
      <c r="D36" s="6">
        <f t="shared" ca="1" si="1"/>
        <v>-54</v>
      </c>
      <c r="E36" s="90" t="s">
        <v>5</v>
      </c>
      <c r="F36" s="45"/>
      <c r="G36" s="46"/>
      <c r="H36" s="46"/>
      <c r="I36" s="151"/>
      <c r="J36" s="46"/>
      <c r="K36" s="152" t="str">
        <f t="shared" si="33"/>
        <v/>
      </c>
      <c r="L36" s="46"/>
      <c r="M36" s="46" t="str">
        <f t="shared" si="38"/>
        <v/>
      </c>
      <c r="N36" s="301"/>
      <c r="O36" s="171">
        <f t="shared" si="3"/>
        <v>1225.1230433060916</v>
      </c>
      <c r="P36" s="172">
        <f t="shared" si="34"/>
        <v>35524.492173224367</v>
      </c>
      <c r="Q36" s="128">
        <f t="shared" si="4"/>
        <v>35524.492173224367</v>
      </c>
      <c r="R36" s="195">
        <f t="shared" si="39"/>
        <v>0</v>
      </c>
      <c r="S36" s="195" t="str">
        <f t="shared" si="12"/>
        <v/>
      </c>
      <c r="T36" s="128"/>
      <c r="U36" s="128"/>
      <c r="V36" s="129" t="str">
        <f t="shared" si="35"/>
        <v/>
      </c>
      <c r="W36" s="129" t="str">
        <f t="shared" si="36"/>
        <v/>
      </c>
      <c r="X36" s="171">
        <f t="shared" si="40"/>
        <v>0</v>
      </c>
      <c r="Y36" s="171">
        <f t="shared" si="40"/>
        <v>0</v>
      </c>
      <c r="Z36" s="171">
        <f t="shared" si="40"/>
        <v>0</v>
      </c>
      <c r="AA36" s="186">
        <f t="shared" si="8"/>
        <v>0</v>
      </c>
      <c r="AB36" s="173">
        <f t="shared" si="13"/>
        <v>0</v>
      </c>
      <c r="AC36" s="79"/>
      <c r="AD36" s="79"/>
      <c r="AE36" s="76"/>
      <c r="AF36" s="76"/>
      <c r="AG36" s="76"/>
      <c r="AH36" s="76"/>
    </row>
    <row r="37" spans="1:34">
      <c r="A37" s="1"/>
      <c r="B37" s="4">
        <f t="shared" si="32"/>
        <v>45346</v>
      </c>
      <c r="C37" s="29">
        <f t="shared" si="37"/>
        <v>45346</v>
      </c>
      <c r="D37" s="6">
        <f t="shared" ca="1" si="1"/>
        <v>-55</v>
      </c>
      <c r="E37" s="90" t="s">
        <v>6</v>
      </c>
      <c r="F37" s="45"/>
      <c r="G37" s="46"/>
      <c r="H37" s="46"/>
      <c r="I37" s="151"/>
      <c r="J37" s="46"/>
      <c r="K37" s="152" t="str">
        <f t="shared" si="33"/>
        <v/>
      </c>
      <c r="L37" s="46"/>
      <c r="M37" s="46" t="str">
        <f t="shared" si="38"/>
        <v/>
      </c>
      <c r="N37" s="310"/>
      <c r="O37" s="171">
        <f t="shared" si="3"/>
        <v>1225.1230433060916</v>
      </c>
      <c r="P37" s="172">
        <f t="shared" si="34"/>
        <v>35524.492173224367</v>
      </c>
      <c r="Q37" s="128">
        <f t="shared" si="4"/>
        <v>35524.492173224367</v>
      </c>
      <c r="R37" s="195">
        <f t="shared" si="39"/>
        <v>0</v>
      </c>
      <c r="S37" s="195" t="str">
        <f t="shared" si="12"/>
        <v/>
      </c>
      <c r="T37" s="128"/>
      <c r="U37" s="128"/>
      <c r="V37" s="129" t="str">
        <f t="shared" si="35"/>
        <v/>
      </c>
      <c r="W37" s="129" t="str">
        <f t="shared" si="36"/>
        <v/>
      </c>
      <c r="X37" s="171">
        <f t="shared" si="40"/>
        <v>0</v>
      </c>
      <c r="Y37" s="171">
        <f t="shared" si="40"/>
        <v>0</v>
      </c>
      <c r="Z37" s="171">
        <f t="shared" si="40"/>
        <v>0</v>
      </c>
      <c r="AA37" s="186">
        <f t="shared" si="8"/>
        <v>0</v>
      </c>
      <c r="AB37" s="173">
        <f t="shared" si="13"/>
        <v>0</v>
      </c>
      <c r="AC37" s="79"/>
      <c r="AD37" s="79"/>
      <c r="AE37" s="76"/>
      <c r="AF37" s="76"/>
      <c r="AG37" s="76"/>
      <c r="AH37" s="76"/>
    </row>
    <row r="38" spans="1:34" ht="17" thickBot="1">
      <c r="A38" s="1"/>
      <c r="B38" s="43">
        <f t="shared" si="32"/>
        <v>45347</v>
      </c>
      <c r="C38" s="32">
        <f t="shared" si="37"/>
        <v>45347</v>
      </c>
      <c r="D38" s="44">
        <f t="shared" ca="1" si="1"/>
        <v>-56</v>
      </c>
      <c r="E38" s="93" t="s">
        <v>7</v>
      </c>
      <c r="F38" s="45"/>
      <c r="G38" s="46"/>
      <c r="H38" s="46"/>
      <c r="I38" s="151"/>
      <c r="J38" s="46"/>
      <c r="K38" s="152" t="str">
        <f t="shared" si="33"/>
        <v/>
      </c>
      <c r="L38" s="46"/>
      <c r="M38" s="46" t="str">
        <f t="shared" si="38"/>
        <v/>
      </c>
      <c r="N38" s="303"/>
      <c r="O38" s="171">
        <f t="shared" si="3"/>
        <v>1225.1230433060916</v>
      </c>
      <c r="P38" s="172">
        <f t="shared" si="34"/>
        <v>35524.492173224367</v>
      </c>
      <c r="Q38" s="128">
        <f t="shared" si="4"/>
        <v>35524.492173224367</v>
      </c>
      <c r="R38" s="195">
        <f t="shared" si="39"/>
        <v>0</v>
      </c>
      <c r="S38" s="195" t="str">
        <f t="shared" si="12"/>
        <v/>
      </c>
      <c r="T38" s="128"/>
      <c r="U38" s="128"/>
      <c r="V38" s="129" t="str">
        <f t="shared" si="35"/>
        <v/>
      </c>
      <c r="W38" s="129" t="str">
        <f t="shared" si="36"/>
        <v/>
      </c>
      <c r="X38" s="171">
        <f t="shared" si="40"/>
        <v>0</v>
      </c>
      <c r="Y38" s="171">
        <f t="shared" si="40"/>
        <v>0</v>
      </c>
      <c r="Z38" s="171">
        <f t="shared" si="40"/>
        <v>0</v>
      </c>
      <c r="AA38" s="186">
        <f t="shared" si="8"/>
        <v>0</v>
      </c>
      <c r="AB38" s="173">
        <f t="shared" si="13"/>
        <v>0</v>
      </c>
      <c r="AC38" s="79"/>
      <c r="AD38" s="79"/>
      <c r="AE38" s="76"/>
      <c r="AF38" s="76"/>
      <c r="AG38" s="76"/>
      <c r="AH38" s="76"/>
    </row>
    <row r="39" spans="1:34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71" t="str">
        <f t="shared" si="3"/>
        <v/>
      </c>
      <c r="P39" s="172"/>
      <c r="Q39" s="128">
        <f t="shared" si="4"/>
        <v>0</v>
      </c>
      <c r="R39" s="267"/>
      <c r="S39" s="195" t="str">
        <f t="shared" si="12"/>
        <v/>
      </c>
      <c r="T39" s="188"/>
      <c r="U39" s="188"/>
      <c r="V39" s="188"/>
      <c r="W39" s="188"/>
      <c r="X39" s="95"/>
      <c r="Y39" s="95"/>
      <c r="Z39" s="95"/>
      <c r="AA39" s="186">
        <f t="shared" si="8"/>
        <v>0</v>
      </c>
      <c r="AB39" s="173">
        <f t="shared" si="13"/>
        <v>0</v>
      </c>
      <c r="AC39" s="79"/>
      <c r="AD39" s="79"/>
      <c r="AE39" s="76"/>
      <c r="AF39" s="76"/>
      <c r="AG39" s="76"/>
      <c r="AH39" s="76"/>
    </row>
    <row r="40" spans="1:34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5.328248066711966</v>
      </c>
      <c r="G40" s="53">
        <f>H40*1.0936113</f>
        <v>9377.7168975000004</v>
      </c>
      <c r="H40" s="5">
        <f>INT(SUM($O32:$O38))</f>
        <v>8575</v>
      </c>
      <c r="I40" s="120"/>
      <c r="J40" s="123"/>
      <c r="K40" s="124"/>
      <c r="L40" s="159">
        <f>COUNT(S5:S51)-COUNT(V5:V51)</f>
        <v>0</v>
      </c>
      <c r="M40" s="124"/>
      <c r="N40" s="124"/>
      <c r="O40" s="171" t="str">
        <f t="shared" si="3"/>
        <v/>
      </c>
      <c r="P40" s="172"/>
      <c r="Q40" s="128">
        <f t="shared" si="4"/>
        <v>0</v>
      </c>
      <c r="R40" s="171"/>
      <c r="S40" s="195" t="str">
        <f t="shared" si="12"/>
        <v/>
      </c>
      <c r="T40" s="189"/>
      <c r="U40" s="189"/>
      <c r="V40" s="189"/>
      <c r="W40" s="189"/>
      <c r="X40" s="95"/>
      <c r="Y40" s="95"/>
      <c r="Z40" s="95"/>
      <c r="AA40" s="186">
        <f t="shared" si="8"/>
        <v>0</v>
      </c>
      <c r="AB40" s="173">
        <f t="shared" si="13"/>
        <v>0</v>
      </c>
      <c r="AC40" s="79"/>
      <c r="AD40" s="79"/>
      <c r="AE40" s="76"/>
      <c r="AF40" s="76"/>
      <c r="AG40" s="76"/>
      <c r="AH40" s="76"/>
    </row>
    <row r="41" spans="1:34" ht="17" thickTop="1">
      <c r="A41" s="1"/>
      <c r="B41" s="47">
        <f t="shared" ref="B41:B47" si="41">IF(B$3&lt;C41,0,C41)</f>
        <v>45348</v>
      </c>
      <c r="C41" s="31">
        <f>C38+1</f>
        <v>45348</v>
      </c>
      <c r="D41" s="18">
        <f t="shared" ca="1" si="1"/>
        <v>-57</v>
      </c>
      <c r="E41" s="94" t="str">
        <f>IF(B41=0,"","Monday")</f>
        <v>Monday</v>
      </c>
      <c r="F41" s="45"/>
      <c r="G41" s="46"/>
      <c r="H41" s="46"/>
      <c r="I41" s="151"/>
      <c r="J41" s="101"/>
      <c r="K41" s="152" t="str">
        <f t="shared" ref="K41:K47" si="42">IF(R41=0,"",IF(L41="","",J41))</f>
        <v/>
      </c>
      <c r="L41" s="101"/>
      <c r="M41" s="46" t="str">
        <f>IF(R41=0,"",IF(J41="","",L41))</f>
        <v/>
      </c>
      <c r="N41" s="301"/>
      <c r="O41" s="171">
        <f t="shared" si="3"/>
        <v>1225.1230433060916</v>
      </c>
      <c r="P41" s="172">
        <f t="shared" ref="P41:P47" si="43">H$56</f>
        <v>35524.492173224367</v>
      </c>
      <c r="Q41" s="128">
        <f t="shared" si="4"/>
        <v>35524.492173224367</v>
      </c>
      <c r="R41" s="195">
        <f>IF(R$2=3,H41+G41/1.0936133+F41/0.0006213712,IF(R$2=2,H41*1.0936133+G41+F41/0.0005681818,IF(R$2=1,H41*0.0005681818*1.0936133+G41*0.0005681818+F41,"")))</f>
        <v>0</v>
      </c>
      <c r="S41" s="195" t="str">
        <f t="shared" si="12"/>
        <v/>
      </c>
      <c r="T41" s="128"/>
      <c r="U41" s="128"/>
      <c r="V41" s="129" t="str">
        <f t="shared" ref="V41:V47" si="44">IF(L41="","",IF(R41=0,"",IF(B41=0,"",IF($R$2=3,R41/L41*60/1000,IF($R$2=2,R41/L41*60/1760,IF($R$2=1,R41/L41*60,""))))))</f>
        <v/>
      </c>
      <c r="W41" s="129" t="str">
        <f t="shared" ref="W41:W47" si="45">IF(R41=0,"",IF(L41="","",V41*L41))</f>
        <v/>
      </c>
      <c r="X41" s="171">
        <f>F41+X38</f>
        <v>0</v>
      </c>
      <c r="Y41" s="171">
        <f>G41+Y38</f>
        <v>0</v>
      </c>
      <c r="Z41" s="171">
        <f>H41+Z38</f>
        <v>0</v>
      </c>
      <c r="AA41" s="186">
        <f t="shared" si="8"/>
        <v>0</v>
      </c>
      <c r="AB41" s="173">
        <f t="shared" si="13"/>
        <v>0</v>
      </c>
      <c r="AC41" s="79"/>
      <c r="AD41" s="79"/>
      <c r="AE41" s="76"/>
      <c r="AF41" s="76"/>
      <c r="AG41" s="76"/>
      <c r="AH41" s="76"/>
    </row>
    <row r="42" spans="1:34">
      <c r="A42" s="1"/>
      <c r="B42" s="4">
        <f t="shared" si="41"/>
        <v>45349</v>
      </c>
      <c r="C42" s="29">
        <f t="shared" ref="C42:C47" si="46">C41+1</f>
        <v>45349</v>
      </c>
      <c r="D42" s="6">
        <f t="shared" ca="1" si="1"/>
        <v>-58</v>
      </c>
      <c r="E42" s="90" t="str">
        <f>IF(B42=0,"","Tuesday")</f>
        <v>Tuesday</v>
      </c>
      <c r="F42" s="45"/>
      <c r="G42" s="46"/>
      <c r="H42" s="46"/>
      <c r="I42" s="151"/>
      <c r="J42" s="46"/>
      <c r="K42" s="152" t="str">
        <f t="shared" si="42"/>
        <v/>
      </c>
      <c r="L42" s="46"/>
      <c r="M42" s="46" t="str">
        <f t="shared" ref="M42:M47" si="47">IF(R42=0,"",IF(J42="","",L42))</f>
        <v/>
      </c>
      <c r="N42" s="301"/>
      <c r="O42" s="171">
        <f t="shared" si="3"/>
        <v>1225.1230433060916</v>
      </c>
      <c r="P42" s="172">
        <f t="shared" si="43"/>
        <v>35524.492173224367</v>
      </c>
      <c r="Q42" s="128">
        <f t="shared" si="4"/>
        <v>35524.492173224367</v>
      </c>
      <c r="R42" s="195">
        <f t="shared" ref="R42:R47" si="48">IF(R$2=3,H42+G42/1.0936133+F42/0.0006213712,IF(R$2=2,H42*1.0936133+G42+F42/0.0005681818,IF(R$2=1,H42*0.0005681818*1.0936133+G42*0.0005681818+F42,"")))</f>
        <v>0</v>
      </c>
      <c r="S42" s="195" t="str">
        <f t="shared" si="12"/>
        <v/>
      </c>
      <c r="T42" s="128"/>
      <c r="U42" s="128"/>
      <c r="V42" s="129" t="str">
        <f t="shared" si="44"/>
        <v/>
      </c>
      <c r="W42" s="129" t="str">
        <f t="shared" si="45"/>
        <v/>
      </c>
      <c r="X42" s="171">
        <f t="shared" ref="X42:Z47" si="49">F42+X41</f>
        <v>0</v>
      </c>
      <c r="Y42" s="171">
        <f t="shared" si="49"/>
        <v>0</v>
      </c>
      <c r="Z42" s="171">
        <f t="shared" si="49"/>
        <v>0</v>
      </c>
      <c r="AA42" s="186">
        <f t="shared" si="8"/>
        <v>0</v>
      </c>
      <c r="AB42" s="173">
        <f t="shared" si="13"/>
        <v>0</v>
      </c>
      <c r="AC42" s="79"/>
      <c r="AD42" s="79"/>
      <c r="AE42" s="76"/>
      <c r="AF42" s="76"/>
      <c r="AG42" s="76"/>
      <c r="AH42" s="76"/>
    </row>
    <row r="43" spans="1:34">
      <c r="A43" s="1"/>
      <c r="B43" s="4">
        <f t="shared" si="41"/>
        <v>45350</v>
      </c>
      <c r="C43" s="29">
        <f t="shared" si="46"/>
        <v>45350</v>
      </c>
      <c r="D43" s="6">
        <f t="shared" ca="1" si="1"/>
        <v>-59</v>
      </c>
      <c r="E43" s="90" t="str">
        <f>IF(B43=0,"","Wednesday")</f>
        <v>Wednesday</v>
      </c>
      <c r="F43" s="45"/>
      <c r="G43" s="46"/>
      <c r="H43" s="46"/>
      <c r="I43" s="151"/>
      <c r="J43" s="46"/>
      <c r="K43" s="152" t="str">
        <f t="shared" si="42"/>
        <v/>
      </c>
      <c r="L43" s="46"/>
      <c r="M43" s="46" t="str">
        <f t="shared" si="47"/>
        <v/>
      </c>
      <c r="N43" s="301"/>
      <c r="O43" s="171">
        <f t="shared" si="3"/>
        <v>1225.1230433060916</v>
      </c>
      <c r="P43" s="172">
        <f t="shared" si="43"/>
        <v>35524.492173224367</v>
      </c>
      <c r="Q43" s="128">
        <f t="shared" si="4"/>
        <v>35524.492173224367</v>
      </c>
      <c r="R43" s="195">
        <f t="shared" si="48"/>
        <v>0</v>
      </c>
      <c r="S43" s="195" t="str">
        <f t="shared" si="12"/>
        <v/>
      </c>
      <c r="T43" s="128"/>
      <c r="U43" s="128"/>
      <c r="V43" s="129" t="str">
        <f t="shared" si="44"/>
        <v/>
      </c>
      <c r="W43" s="129" t="str">
        <f t="shared" si="45"/>
        <v/>
      </c>
      <c r="X43" s="171">
        <f t="shared" si="49"/>
        <v>0</v>
      </c>
      <c r="Y43" s="171">
        <f t="shared" si="49"/>
        <v>0</v>
      </c>
      <c r="Z43" s="171">
        <f t="shared" si="49"/>
        <v>0</v>
      </c>
      <c r="AA43" s="186">
        <f t="shared" si="8"/>
        <v>0</v>
      </c>
      <c r="AB43" s="173">
        <f t="shared" si="13"/>
        <v>0</v>
      </c>
      <c r="AC43" s="79"/>
      <c r="AD43" s="79"/>
      <c r="AE43" s="76"/>
      <c r="AF43" s="76"/>
      <c r="AG43" s="76"/>
      <c r="AH43" s="76"/>
    </row>
    <row r="44" spans="1:34">
      <c r="A44" s="1"/>
      <c r="B44" s="4">
        <f t="shared" si="41"/>
        <v>45351</v>
      </c>
      <c r="C44" s="29">
        <f t="shared" si="46"/>
        <v>45351</v>
      </c>
      <c r="D44" s="6">
        <f t="shared" ca="1" si="1"/>
        <v>-60</v>
      </c>
      <c r="E44" s="90" t="str">
        <f>IF(B44=0,"","Thursday")</f>
        <v>Thursday</v>
      </c>
      <c r="F44" s="45"/>
      <c r="G44" s="46"/>
      <c r="H44" s="46"/>
      <c r="I44" s="151"/>
      <c r="J44" s="46"/>
      <c r="K44" s="152" t="str">
        <f t="shared" si="42"/>
        <v/>
      </c>
      <c r="L44" s="46"/>
      <c r="M44" s="46" t="str">
        <f t="shared" si="47"/>
        <v/>
      </c>
      <c r="N44" s="301"/>
      <c r="O44" s="171">
        <f t="shared" si="3"/>
        <v>1225.1230433060916</v>
      </c>
      <c r="P44" s="172">
        <f t="shared" si="43"/>
        <v>35524.492173224367</v>
      </c>
      <c r="Q44" s="128">
        <f t="shared" si="4"/>
        <v>35524.492173224367</v>
      </c>
      <c r="R44" s="195">
        <f t="shared" si="48"/>
        <v>0</v>
      </c>
      <c r="S44" s="195" t="str">
        <f t="shared" si="12"/>
        <v/>
      </c>
      <c r="T44" s="128"/>
      <c r="U44" s="128"/>
      <c r="V44" s="129" t="str">
        <f t="shared" si="44"/>
        <v/>
      </c>
      <c r="W44" s="129" t="str">
        <f t="shared" si="45"/>
        <v/>
      </c>
      <c r="X44" s="171">
        <f t="shared" si="49"/>
        <v>0</v>
      </c>
      <c r="Y44" s="171">
        <f t="shared" si="49"/>
        <v>0</v>
      </c>
      <c r="Z44" s="171">
        <f t="shared" si="49"/>
        <v>0</v>
      </c>
      <c r="AA44" s="186">
        <f t="shared" si="8"/>
        <v>0</v>
      </c>
      <c r="AB44" s="173">
        <f t="shared" si="13"/>
        <v>0</v>
      </c>
      <c r="AC44" s="131"/>
      <c r="AD44" s="131"/>
      <c r="AE44" s="76"/>
      <c r="AF44" s="76"/>
      <c r="AG44" s="76"/>
      <c r="AH44" s="76"/>
    </row>
    <row r="45" spans="1:34">
      <c r="A45" s="1"/>
      <c r="B45" s="4">
        <f t="shared" si="41"/>
        <v>0</v>
      </c>
      <c r="C45" s="29">
        <f t="shared" si="46"/>
        <v>45352</v>
      </c>
      <c r="D45" s="6">
        <f t="shared" ca="1" si="1"/>
        <v>-61</v>
      </c>
      <c r="E45" s="90" t="str">
        <f>IF(B45=0,"","Friday")</f>
        <v/>
      </c>
      <c r="F45" s="45"/>
      <c r="G45" s="46"/>
      <c r="H45" s="46"/>
      <c r="I45" s="151"/>
      <c r="J45" s="46"/>
      <c r="K45" s="152" t="str">
        <f t="shared" si="42"/>
        <v/>
      </c>
      <c r="L45" s="46"/>
      <c r="M45" s="46" t="str">
        <f t="shared" si="47"/>
        <v/>
      </c>
      <c r="N45" s="301"/>
      <c r="O45" s="171" t="str">
        <f t="shared" si="3"/>
        <v/>
      </c>
      <c r="P45" s="172">
        <f t="shared" si="43"/>
        <v>35524.492173224367</v>
      </c>
      <c r="Q45" s="128">
        <f t="shared" si="4"/>
        <v>35524.492173224367</v>
      </c>
      <c r="R45" s="195">
        <f t="shared" si="48"/>
        <v>0</v>
      </c>
      <c r="S45" s="195" t="str">
        <f t="shared" si="12"/>
        <v/>
      </c>
      <c r="T45" s="128"/>
      <c r="U45" s="128"/>
      <c r="V45" s="129" t="str">
        <f t="shared" si="44"/>
        <v/>
      </c>
      <c r="W45" s="129" t="str">
        <f t="shared" si="45"/>
        <v/>
      </c>
      <c r="X45" s="171">
        <f t="shared" si="49"/>
        <v>0</v>
      </c>
      <c r="Y45" s="171">
        <f t="shared" si="49"/>
        <v>0</v>
      </c>
      <c r="Z45" s="171">
        <f t="shared" si="49"/>
        <v>0</v>
      </c>
      <c r="AA45" s="186">
        <f t="shared" si="8"/>
        <v>0</v>
      </c>
      <c r="AB45" s="173">
        <f t="shared" si="13"/>
        <v>0</v>
      </c>
      <c r="AC45" s="79"/>
      <c r="AD45" s="79"/>
      <c r="AE45" s="76"/>
      <c r="AF45" s="76"/>
      <c r="AG45" s="76"/>
      <c r="AH45" s="76"/>
    </row>
    <row r="46" spans="1:34">
      <c r="A46" s="1"/>
      <c r="B46" s="4">
        <f t="shared" si="41"/>
        <v>0</v>
      </c>
      <c r="C46" s="29">
        <f t="shared" si="46"/>
        <v>45353</v>
      </c>
      <c r="D46" s="6">
        <f t="shared" ca="1" si="1"/>
        <v>-62</v>
      </c>
      <c r="E46" s="90" t="str">
        <f>IF(B46=0,"","Saturday")</f>
        <v/>
      </c>
      <c r="F46" s="45"/>
      <c r="G46" s="46"/>
      <c r="H46" s="46"/>
      <c r="I46" s="151"/>
      <c r="J46" s="46"/>
      <c r="K46" s="152" t="str">
        <f t="shared" si="42"/>
        <v/>
      </c>
      <c r="L46" s="46"/>
      <c r="M46" s="46" t="str">
        <f t="shared" si="47"/>
        <v/>
      </c>
      <c r="N46" s="301"/>
      <c r="O46" s="171" t="str">
        <f t="shared" si="3"/>
        <v/>
      </c>
      <c r="P46" s="172">
        <f t="shared" si="43"/>
        <v>35524.492173224367</v>
      </c>
      <c r="Q46" s="128">
        <f t="shared" si="4"/>
        <v>35524.492173224367</v>
      </c>
      <c r="R46" s="195">
        <f t="shared" si="48"/>
        <v>0</v>
      </c>
      <c r="S46" s="195" t="str">
        <f t="shared" si="12"/>
        <v/>
      </c>
      <c r="T46" s="128"/>
      <c r="U46" s="128"/>
      <c r="V46" s="129" t="str">
        <f t="shared" si="44"/>
        <v/>
      </c>
      <c r="W46" s="129" t="str">
        <f t="shared" si="45"/>
        <v/>
      </c>
      <c r="X46" s="171">
        <f t="shared" si="49"/>
        <v>0</v>
      </c>
      <c r="Y46" s="171">
        <f t="shared" si="49"/>
        <v>0</v>
      </c>
      <c r="Z46" s="171">
        <f t="shared" si="49"/>
        <v>0</v>
      </c>
      <c r="AA46" s="186">
        <f t="shared" si="8"/>
        <v>0</v>
      </c>
      <c r="AB46" s="173">
        <f t="shared" si="13"/>
        <v>0</v>
      </c>
      <c r="AC46" s="79"/>
      <c r="AD46" s="79"/>
      <c r="AE46" s="76"/>
      <c r="AF46" s="76"/>
      <c r="AG46" s="76"/>
      <c r="AH46" s="76"/>
    </row>
    <row r="47" spans="1:34" ht="17" thickBot="1">
      <c r="A47" s="1"/>
      <c r="B47" s="43">
        <f t="shared" si="41"/>
        <v>0</v>
      </c>
      <c r="C47" s="32">
        <f t="shared" si="46"/>
        <v>45354</v>
      </c>
      <c r="D47" s="44">
        <f t="shared" ca="1" si="1"/>
        <v>-63</v>
      </c>
      <c r="E47" s="93" t="str">
        <f>IF(B47=0,"","Sunday")</f>
        <v/>
      </c>
      <c r="F47" s="45"/>
      <c r="G47" s="46"/>
      <c r="H47" s="46"/>
      <c r="I47" s="151"/>
      <c r="J47" s="46"/>
      <c r="K47" s="152" t="str">
        <f t="shared" si="42"/>
        <v/>
      </c>
      <c r="L47" s="46"/>
      <c r="M47" s="46" t="str">
        <f t="shared" si="47"/>
        <v/>
      </c>
      <c r="N47" s="302"/>
      <c r="O47" s="171" t="str">
        <f t="shared" si="3"/>
        <v/>
      </c>
      <c r="P47" s="172">
        <f t="shared" si="43"/>
        <v>35524.492173224367</v>
      </c>
      <c r="Q47" s="128">
        <f t="shared" si="4"/>
        <v>35524.492173224367</v>
      </c>
      <c r="R47" s="195">
        <f t="shared" si="48"/>
        <v>0</v>
      </c>
      <c r="S47" s="195" t="str">
        <f t="shared" si="12"/>
        <v/>
      </c>
      <c r="T47" s="128"/>
      <c r="U47" s="128"/>
      <c r="V47" s="129" t="str">
        <f t="shared" si="44"/>
        <v/>
      </c>
      <c r="W47" s="129" t="str">
        <f t="shared" si="45"/>
        <v/>
      </c>
      <c r="X47" s="171">
        <f t="shared" si="49"/>
        <v>0</v>
      </c>
      <c r="Y47" s="171">
        <f t="shared" si="49"/>
        <v>0</v>
      </c>
      <c r="Z47" s="171">
        <f t="shared" si="49"/>
        <v>0</v>
      </c>
      <c r="AA47" s="186">
        <f t="shared" si="8"/>
        <v>0</v>
      </c>
      <c r="AB47" s="173">
        <f t="shared" si="13"/>
        <v>0</v>
      </c>
      <c r="AC47" s="79"/>
      <c r="AD47" s="79"/>
      <c r="AE47" s="76"/>
      <c r="AF47" s="76"/>
      <c r="AG47" s="76"/>
      <c r="AH47" s="76"/>
    </row>
    <row r="48" spans="1:34" ht="17" customHeight="1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71" t="str">
        <f t="shared" si="3"/>
        <v/>
      </c>
      <c r="P48" s="79"/>
      <c r="Q48" s="128">
        <f t="shared" si="4"/>
        <v>0</v>
      </c>
      <c r="R48" s="267"/>
      <c r="S48" s="195" t="str">
        <f t="shared" si="12"/>
        <v/>
      </c>
      <c r="T48" s="188"/>
      <c r="U48" s="188"/>
      <c r="V48" s="188"/>
      <c r="W48" s="188"/>
      <c r="X48" s="171"/>
      <c r="Y48" s="171" t="str">
        <f>IF(A48=0,"",G48+Y36)</f>
        <v/>
      </c>
      <c r="Z48" s="171" t="str">
        <f>IF(B48=0,"",H48+Z36)</f>
        <v/>
      </c>
      <c r="AA48" s="186"/>
      <c r="AB48" s="173">
        <f t="shared" si="13"/>
        <v>0</v>
      </c>
      <c r="AC48" s="79"/>
      <c r="AD48" s="79"/>
      <c r="AE48" s="76"/>
      <c r="AF48" s="76"/>
      <c r="AG48" s="76"/>
      <c r="AH48" s="76"/>
    </row>
    <row r="49" spans="1:34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3.0447131809782664</v>
      </c>
      <c r="G49" s="53">
        <f>H49*1.0936113</f>
        <v>5358.6953700000004</v>
      </c>
      <c r="H49" s="5">
        <f>INT(SUM($O41:$O47))</f>
        <v>4900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71" t="str">
        <f t="shared" si="3"/>
        <v/>
      </c>
      <c r="P49" s="95"/>
      <c r="Q49" s="128">
        <f t="shared" si="4"/>
        <v>0</v>
      </c>
      <c r="R49" s="171"/>
      <c r="S49" s="195" t="str">
        <f t="shared" si="12"/>
        <v/>
      </c>
      <c r="T49" s="189"/>
      <c r="U49" s="189"/>
      <c r="V49" s="189"/>
      <c r="W49" s="189"/>
      <c r="X49" s="171"/>
      <c r="Y49" s="171" t="str">
        <f>IF(A49=0,"",G49+Y37)</f>
        <v/>
      </c>
      <c r="Z49" s="171" t="str">
        <f>IF(B49=0,"",H49+Z37)</f>
        <v/>
      </c>
      <c r="AA49" s="186"/>
      <c r="AB49" s="173">
        <f t="shared" si="13"/>
        <v>0</v>
      </c>
      <c r="AC49" s="95"/>
      <c r="AD49" s="95"/>
      <c r="AE49" s="77"/>
      <c r="AF49" s="76"/>
      <c r="AG49" s="76"/>
      <c r="AH49" s="76"/>
    </row>
    <row r="50" spans="1:34" ht="17" thickTop="1">
      <c r="A50" s="1"/>
      <c r="B50" s="47">
        <f>IF(B$3&lt;C50,0,C50)</f>
        <v>0</v>
      </c>
      <c r="C50" s="31">
        <f>C47+1</f>
        <v>45355</v>
      </c>
      <c r="D50" s="18">
        <f t="shared" ca="1" si="1"/>
        <v>-64</v>
      </c>
      <c r="E50" s="94" t="str">
        <f>IF(B50=0,"","Monday")</f>
        <v/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71" t="str">
        <f t="shared" si="3"/>
        <v/>
      </c>
      <c r="P50" s="172">
        <f>H$56</f>
        <v>35524.492173224367</v>
      </c>
      <c r="Q50" s="128">
        <f t="shared" si="4"/>
        <v>35524.492173224367</v>
      </c>
      <c r="R50" s="195">
        <f>IF(R$2=3,H50+G50/1.0936133+F50/0.0006213712,IF(R$2=2,H50*1.0936133+G50+F50/0.0005681818,IF(R$2=1,H50*0.0005681818*1.0936133+G50*0.0005681818+F50,"")))</f>
        <v>0</v>
      </c>
      <c r="S50" s="195" t="str">
        <f t="shared" si="12"/>
        <v/>
      </c>
      <c r="T50" s="128"/>
      <c r="U50" s="128"/>
      <c r="V50" s="129" t="str">
        <f>IF(L50="","",IF(R50=0,"",IF(B50=0,"",IF($R$2=3,R50/L50*60/1000,IF($R$2=2,R50/L50*60/1760,IF($R$2=1,R50/L50*60,""))))))</f>
        <v/>
      </c>
      <c r="W50" s="129" t="str">
        <f>IF(R50=0,"",IF(L50="","",V50*L50))</f>
        <v/>
      </c>
      <c r="X50" s="171">
        <f>F50+X47</f>
        <v>0</v>
      </c>
      <c r="Y50" s="171">
        <f>G50+Y47</f>
        <v>0</v>
      </c>
      <c r="Z50" s="171">
        <f>H50+Z47</f>
        <v>0</v>
      </c>
      <c r="AA50" s="186">
        <f t="shared" si="8"/>
        <v>0</v>
      </c>
      <c r="AB50" s="173">
        <f t="shared" si="13"/>
        <v>0</v>
      </c>
      <c r="AC50" s="79"/>
      <c r="AD50" s="79"/>
      <c r="AE50" s="76"/>
      <c r="AF50" s="76"/>
      <c r="AG50" s="76"/>
      <c r="AH50" s="76"/>
    </row>
    <row r="51" spans="1:34" ht="17" thickBot="1">
      <c r="A51" s="1"/>
      <c r="B51" s="4">
        <f>IF(B$3&lt;C51,0,C51)</f>
        <v>0</v>
      </c>
      <c r="C51" s="29">
        <f>C50+1</f>
        <v>45356</v>
      </c>
      <c r="D51" s="6">
        <f t="shared" ca="1" si="1"/>
        <v>-65</v>
      </c>
      <c r="E51" s="90" t="str">
        <f>IF(B51=0,"","Tuesday")</f>
        <v/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71" t="str">
        <f t="shared" si="3"/>
        <v/>
      </c>
      <c r="P51" s="172">
        <f>H$56</f>
        <v>35524.492173224367</v>
      </c>
      <c r="Q51" s="128">
        <f t="shared" si="4"/>
        <v>35524.492173224367</v>
      </c>
      <c r="R51" s="195">
        <f>IF(R$2=3,H51+G51/1.0936133+F51/0.0006213712,IF(R$2=2,H51*1.0936133+G51+F51/0.0005681818,IF(R$2=1,H51*0.0005681818*1.0936133+G51*0.0005681818+F51,"")))</f>
        <v>0</v>
      </c>
      <c r="S51" s="195" t="str">
        <f t="shared" si="12"/>
        <v/>
      </c>
      <c r="T51" s="128"/>
      <c r="U51" s="128"/>
      <c r="V51" s="129" t="str">
        <f>IF(L51="","",IF(R51=0,"",IF(B51=0,"",IF($R$2=3,R51/L51*60/1000,IF($R$2=2,R51/L51*60/1760,IF($R$2=1,R51/L51*60,""))))))</f>
        <v/>
      </c>
      <c r="W51" s="129" t="str">
        <f>IF(R51=0,"",IF(L51="","",V51*L51))</f>
        <v/>
      </c>
      <c r="X51" s="171">
        <f>F51+X50</f>
        <v>0</v>
      </c>
      <c r="Y51" s="171">
        <f>G51+Y50</f>
        <v>0</v>
      </c>
      <c r="Z51" s="171">
        <f>H51+Z50</f>
        <v>0</v>
      </c>
      <c r="AA51" s="186">
        <f t="shared" si="8"/>
        <v>0</v>
      </c>
      <c r="AB51" s="173">
        <f t="shared" si="13"/>
        <v>0</v>
      </c>
      <c r="AC51" s="79"/>
      <c r="AD51" s="79"/>
      <c r="AE51" s="76"/>
      <c r="AF51" s="76"/>
      <c r="AG51" s="76"/>
      <c r="AH51" s="76"/>
    </row>
    <row r="52" spans="1:34" ht="18" thickTop="1" thickBot="1">
      <c r="A52" s="25"/>
      <c r="B52" s="12"/>
      <c r="C52" s="33"/>
      <c r="D52" s="50"/>
      <c r="E52" s="89" t="s">
        <v>65</v>
      </c>
      <c r="F52" s="49">
        <f ca="1">G52*0.000568181818</f>
        <v>-6.2137005661934355E-59</v>
      </c>
      <c r="G52" s="15">
        <f ca="1">H52*1.0936113</f>
        <v>-1.0936113000000001E-55</v>
      </c>
      <c r="H52" s="102">
        <f ca="1">IF(SUM(B50:B51)=0,-1E-55,IF(TODAY()&gt;=B50,(AA51-AA47)*1000,-2E-55))</f>
        <v>-9.9999999999999999E-56</v>
      </c>
      <c r="I52" s="250"/>
      <c r="J52" s="495" t="s">
        <v>93</v>
      </c>
      <c r="K52" s="496"/>
      <c r="L52" s="496"/>
      <c r="M52" s="268"/>
      <c r="N52" s="254" t="str">
        <f>IF(R$2=1,"Dist (miles)",IF(R$2=2,"Dist (yds)",IF(R$2=3,"Dist (km)","????")))</f>
        <v>Dist (km)</v>
      </c>
      <c r="O52" s="171"/>
      <c r="P52" s="95" t="s">
        <v>1</v>
      </c>
      <c r="Q52" s="95" t="s">
        <v>2</v>
      </c>
      <c r="R52" s="95" t="s">
        <v>3</v>
      </c>
      <c r="S52" s="95" t="s">
        <v>4</v>
      </c>
      <c r="T52" s="95" t="s">
        <v>5</v>
      </c>
      <c r="U52" s="95" t="s">
        <v>6</v>
      </c>
      <c r="V52" s="95" t="s">
        <v>7</v>
      </c>
      <c r="W52" s="171"/>
      <c r="X52" s="171"/>
      <c r="Y52" s="171"/>
      <c r="Z52" s="186"/>
      <c r="AA52" s="173"/>
      <c r="AB52" s="79"/>
      <c r="AC52" s="79"/>
      <c r="AD52" s="79"/>
      <c r="AE52" s="76"/>
      <c r="AF52" s="76"/>
      <c r="AG52" s="76"/>
      <c r="AH52" s="76"/>
    </row>
    <row r="53" spans="1:34" ht="17" thickBot="1">
      <c r="A53" s="24"/>
      <c r="B53" s="13"/>
      <c r="C53" s="30"/>
      <c r="D53" s="51"/>
      <c r="E53" s="92" t="s">
        <v>27</v>
      </c>
      <c r="F53" s="52">
        <f>G53*0.0005681818</f>
        <v>-6.2137003693434006E-59</v>
      </c>
      <c r="G53" s="53">
        <f>H53*1.0936113</f>
        <v>-1.0936113000000001E-55</v>
      </c>
      <c r="H53" s="104">
        <f>IF(SUM($O50:$O51)=0,-1E-55,SUM($O50:$O51))</f>
        <v>-9.9999999999999999E-56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190" t="s">
        <v>48</v>
      </c>
      <c r="P53" s="95">
        <f t="shared" ref="P53:V53" si="50">COUNTIFS($E$5:$E$51,P52)</f>
        <v>4</v>
      </c>
      <c r="Q53" s="95">
        <f t="shared" si="50"/>
        <v>4</v>
      </c>
      <c r="R53" s="95">
        <f t="shared" si="50"/>
        <v>4</v>
      </c>
      <c r="S53" s="95">
        <f t="shared" si="50"/>
        <v>5</v>
      </c>
      <c r="T53" s="95">
        <f t="shared" si="50"/>
        <v>4</v>
      </c>
      <c r="U53" s="95">
        <f t="shared" si="50"/>
        <v>4</v>
      </c>
      <c r="V53" s="95">
        <f t="shared" si="50"/>
        <v>4</v>
      </c>
      <c r="W53" s="171"/>
      <c r="X53" s="171"/>
      <c r="Y53" s="171"/>
      <c r="Z53" s="186"/>
      <c r="AA53" s="173"/>
      <c r="AB53" s="79"/>
      <c r="AC53" s="131"/>
      <c r="AD53" s="131"/>
      <c r="AE53" s="76"/>
      <c r="AF53" s="76"/>
      <c r="AG53" s="76"/>
      <c r="AH53" s="76"/>
    </row>
    <row r="54" spans="1:34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1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190" t="s">
        <v>47</v>
      </c>
      <c r="P54" s="95">
        <f t="shared" ref="P54:V54" ca="1" si="52">COUNTIFS($D$5:$D$51,"&gt;-1",$E$5:$E$51,P52)</f>
        <v>0</v>
      </c>
      <c r="Q54" s="95">
        <f t="shared" ca="1" si="52"/>
        <v>0</v>
      </c>
      <c r="R54" s="95">
        <f t="shared" ca="1" si="52"/>
        <v>0</v>
      </c>
      <c r="S54" s="95">
        <f t="shared" ca="1" si="52"/>
        <v>0</v>
      </c>
      <c r="T54" s="95">
        <f t="shared" ca="1" si="52"/>
        <v>0</v>
      </c>
      <c r="U54" s="95">
        <f t="shared" ca="1" si="52"/>
        <v>0</v>
      </c>
      <c r="V54" s="95">
        <f t="shared" ca="1" si="52"/>
        <v>0</v>
      </c>
      <c r="W54" s="171"/>
      <c r="X54" s="171"/>
      <c r="Y54" s="171"/>
      <c r="Z54" s="186"/>
      <c r="AA54" s="173"/>
      <c r="AB54" s="79"/>
      <c r="AC54" s="79"/>
      <c r="AD54" s="79"/>
      <c r="AE54" s="76"/>
      <c r="AF54" s="76"/>
      <c r="AG54" s="76"/>
      <c r="AH54" s="76"/>
    </row>
    <row r="55" spans="1:34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1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190" t="s">
        <v>66</v>
      </c>
      <c r="P55" s="95">
        <f t="shared" ref="P55:V55" si="53">COUNTIFS($E$5:$E$51,P52,$R$5:$R$51,"&gt;0")</f>
        <v>0</v>
      </c>
      <c r="Q55" s="95">
        <f t="shared" si="53"/>
        <v>0</v>
      </c>
      <c r="R55" s="95">
        <f t="shared" si="53"/>
        <v>0</v>
      </c>
      <c r="S55" s="95">
        <f t="shared" si="53"/>
        <v>0</v>
      </c>
      <c r="T55" s="95">
        <f t="shared" si="53"/>
        <v>0</v>
      </c>
      <c r="U55" s="95">
        <f t="shared" si="53"/>
        <v>0</v>
      </c>
      <c r="V55" s="95">
        <f t="shared" si="53"/>
        <v>0</v>
      </c>
      <c r="W55" s="171"/>
      <c r="X55" s="171"/>
      <c r="Y55" s="171"/>
      <c r="Z55" s="186"/>
      <c r="AA55" s="173"/>
      <c r="AB55" s="79"/>
      <c r="AC55" s="79"/>
      <c r="AD55" s="79"/>
      <c r="AE55" s="76"/>
      <c r="AF55" s="76"/>
      <c r="AG55" s="76"/>
      <c r="AH55" s="76"/>
    </row>
    <row r="56" spans="1:34" ht="17" thickBot="1">
      <c r="A56" s="27"/>
      <c r="B56" s="35"/>
      <c r="C56" s="35"/>
      <c r="D56" s="35"/>
      <c r="E56" s="17" t="s">
        <v>41</v>
      </c>
      <c r="F56" s="37">
        <f>G56*0.000568181818</f>
        <v>22.073855713049849</v>
      </c>
      <c r="G56" s="38">
        <f>H56*1.0936113</f>
        <v>38849.986067399725</v>
      </c>
      <c r="H56" s="106">
        <f>SUM(H$53,H40,H31,H22,H49,H13)-1</f>
        <v>35524.492173224367</v>
      </c>
      <c r="I56" s="252"/>
      <c r="J56" s="257" t="str">
        <f>'MY STATS'!AI47</f>
        <v/>
      </c>
      <c r="K56" s="126" t="str">
        <f t="shared" si="51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190" t="s">
        <v>106</v>
      </c>
      <c r="P56" s="95"/>
      <c r="Q56" s="95"/>
      <c r="R56" s="95"/>
      <c r="S56" s="95"/>
      <c r="T56" s="95"/>
      <c r="U56" s="95"/>
      <c r="V56" s="95"/>
      <c r="W56" s="171"/>
      <c r="X56" s="171"/>
      <c r="Y56" s="171"/>
      <c r="Z56" s="186"/>
      <c r="AA56" s="173"/>
      <c r="AB56" s="79"/>
      <c r="AC56" s="79"/>
      <c r="AD56" s="79"/>
      <c r="AE56" s="76"/>
      <c r="AF56" s="276"/>
      <c r="AG56" s="76"/>
      <c r="AH56" s="76"/>
    </row>
    <row r="57" spans="1:34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190" t="s">
        <v>114</v>
      </c>
      <c r="P57" s="172">
        <f t="shared" ref="P57:V57" si="54">SUMIF($E$5:$E$51,P52,$S$5:$S$51)</f>
        <v>0</v>
      </c>
      <c r="Q57" s="172">
        <f t="shared" si="54"/>
        <v>0</v>
      </c>
      <c r="R57" s="172">
        <f t="shared" si="54"/>
        <v>0</v>
      </c>
      <c r="S57" s="172">
        <f t="shared" si="54"/>
        <v>0</v>
      </c>
      <c r="T57" s="172">
        <f t="shared" si="54"/>
        <v>0</v>
      </c>
      <c r="U57" s="172">
        <f t="shared" si="54"/>
        <v>0</v>
      </c>
      <c r="V57" s="172">
        <f t="shared" si="54"/>
        <v>0</v>
      </c>
      <c r="W57" s="79"/>
      <c r="X57" s="79"/>
      <c r="Y57" s="79"/>
      <c r="Z57" s="95"/>
      <c r="AA57" s="79"/>
      <c r="AB57" s="79"/>
      <c r="AC57" s="79"/>
      <c r="AD57" s="79"/>
      <c r="AE57" s="76"/>
      <c r="AF57" s="76"/>
      <c r="AG57" s="76"/>
      <c r="AH57" s="76"/>
    </row>
    <row r="58" spans="1:34" ht="18" thickTop="1" thickBot="1">
      <c r="A58" s="63">
        <f>A1</f>
        <v>2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190" t="s">
        <v>98</v>
      </c>
      <c r="P58" s="172">
        <f t="shared" ref="P58:V58" si="55">IF(COUNTIFS($E$5:$E$51,P52,$L$5:$L$51,"&gt;0")=0,0,(SUMIF($E$5:$E$51,P52,$L$5:$L$51)+IF(SUMIF($E$5:$E$51,P52,$R$5:$R$51)=0,-SUMIF($E$5:$E$51,P52,$L$5:$L$51)))/60)</f>
        <v>0</v>
      </c>
      <c r="Q58" s="172">
        <f t="shared" si="55"/>
        <v>0</v>
      </c>
      <c r="R58" s="172">
        <f t="shared" si="55"/>
        <v>0</v>
      </c>
      <c r="S58" s="172">
        <f t="shared" si="55"/>
        <v>0</v>
      </c>
      <c r="T58" s="172">
        <f t="shared" si="55"/>
        <v>0</v>
      </c>
      <c r="U58" s="172">
        <f t="shared" si="55"/>
        <v>0</v>
      </c>
      <c r="V58" s="172">
        <f t="shared" si="55"/>
        <v>0</v>
      </c>
      <c r="W58" s="79"/>
      <c r="X58" s="79"/>
      <c r="Y58" s="79"/>
      <c r="Z58" s="95"/>
      <c r="AA58" s="79"/>
      <c r="AB58" s="79"/>
      <c r="AC58" s="79"/>
      <c r="AD58" s="79"/>
      <c r="AE58" s="76"/>
      <c r="AF58" s="76"/>
      <c r="AG58" s="76"/>
      <c r="AH58" s="76"/>
    </row>
    <row r="59" spans="1:34" ht="18" thickTop="1" thickBot="1">
      <c r="A59" s="66">
        <f>A1</f>
        <v>2</v>
      </c>
      <c r="B59" s="67"/>
      <c r="C59" s="68"/>
      <c r="D59" s="59"/>
      <c r="E59" s="60" t="s">
        <v>52</v>
      </c>
      <c r="F59" s="61">
        <f>G59*0.000568181818</f>
        <v>41.803202238688634</v>
      </c>
      <c r="G59" s="62">
        <f>H59*1.0936113</f>
        <v>73573.635963635548</v>
      </c>
      <c r="H59" s="107">
        <f>VLOOKUP($A$1,'MY STATS'!B$32:K$43,10)</f>
        <v>67275.855656973872</v>
      </c>
      <c r="I59" s="251"/>
      <c r="J59" s="261" t="s">
        <v>57</v>
      </c>
      <c r="K59" s="262" t="str">
        <f t="shared" si="51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190" t="s">
        <v>88</v>
      </c>
      <c r="P59" s="167">
        <f>IFERROR(IF('MY STATS'!$A16=1,P57/P58,IF('MY STATS'!$A16=2,P57/1760/P58,IF('MY STATS'!$A16=3,P57/1000/P58,0))),0)</f>
        <v>0</v>
      </c>
      <c r="Q59" s="167">
        <f>IFERROR(IF('MY STATS'!$A16=1,Q57/Q58,IF('MY STATS'!$A16=2,Q57/1760/Q58,IF('MY STATS'!$A16=3,Q57/1000/Q58,0))),0)</f>
        <v>0</v>
      </c>
      <c r="R59" s="167">
        <f>IFERROR(IF('MY STATS'!$A16=1,R57/R58,IF('MY STATS'!$A16=2,R57/1760/R58,IF('MY STATS'!$A16=3,R57/1000/R58,0))),0)</f>
        <v>0</v>
      </c>
      <c r="S59" s="167">
        <f>IFERROR(IF('MY STATS'!$A16=1,S57/S58,IF('MY STATS'!$A16=2,S57/1760/S58,IF('MY STATS'!$A16=3,S57/1000/S58,0))),0)</f>
        <v>0</v>
      </c>
      <c r="T59" s="167">
        <f>IFERROR(IF('MY STATS'!$A16=1,T57/T58,IF('MY STATS'!$A16=2,T57/1760/T58,IF('MY STATS'!$A16=3,T57/1000/T58,0))),0)</f>
        <v>0</v>
      </c>
      <c r="U59" s="167">
        <f>IFERROR(IF('MY STATS'!$A16=1,U57/U58,IF('MY STATS'!$A16=2,U57/1760/U58,IF('MY STATS'!$A16=3,U57/1000/U58,0))),0)</f>
        <v>0</v>
      </c>
      <c r="V59" s="167">
        <f>IFERROR(IF('MY STATS'!$A16=1,V57/V58,IF('MY STATS'!$A16=2,V57/1760/V58,IF('MY STATS'!$A16=3,V57/1000/V58,0))),0)</f>
        <v>0</v>
      </c>
      <c r="W59" s="79"/>
      <c r="X59" s="79"/>
      <c r="Y59" s="79"/>
      <c r="Z59" s="95"/>
      <c r="AA59" s="79"/>
      <c r="AB59" s="79"/>
      <c r="AC59" s="79"/>
      <c r="AD59" s="79"/>
      <c r="AE59" s="76"/>
      <c r="AF59" s="76"/>
      <c r="AG59" s="76"/>
      <c r="AH59" s="76"/>
    </row>
    <row r="60" spans="1:34" ht="17" thickTop="1"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95"/>
      <c r="AB60" s="79"/>
      <c r="AC60" s="79"/>
      <c r="AD60" s="79"/>
      <c r="AE60" s="76"/>
      <c r="AF60" s="76"/>
      <c r="AG60" s="76"/>
      <c r="AH60" s="76"/>
    </row>
    <row r="61" spans="1:34"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95"/>
      <c r="AB61" s="79"/>
      <c r="AC61" s="79"/>
      <c r="AD61" s="79"/>
      <c r="AE61" s="76"/>
      <c r="AF61" s="76"/>
      <c r="AG61" s="76"/>
      <c r="AH61" s="76"/>
    </row>
    <row r="62" spans="1:34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6"/>
      <c r="AC62" s="76"/>
      <c r="AD62" s="76"/>
      <c r="AE62" s="76"/>
      <c r="AF62" s="76"/>
      <c r="AG62" s="76"/>
      <c r="AH62" s="76"/>
    </row>
    <row r="63" spans="1:34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6"/>
      <c r="AC63" s="76"/>
      <c r="AD63" s="76"/>
      <c r="AE63" s="76"/>
      <c r="AF63" s="76"/>
      <c r="AG63" s="76"/>
      <c r="AH63" s="76"/>
    </row>
    <row r="64" spans="1:34">
      <c r="O64" s="76"/>
      <c r="P64" s="76"/>
      <c r="Q64" s="76"/>
      <c r="R64" s="76"/>
      <c r="S64" s="76"/>
      <c r="T64" s="76"/>
      <c r="U64" s="76"/>
      <c r="V64" s="76"/>
      <c r="W64" s="76"/>
      <c r="X64" s="77"/>
      <c r="Y64" s="76"/>
      <c r="Z64" s="76"/>
      <c r="AA64" s="76"/>
      <c r="AB64" s="76"/>
      <c r="AC64" s="76"/>
      <c r="AD64" s="76"/>
      <c r="AE64" s="76"/>
      <c r="AF64" s="76"/>
      <c r="AG64" s="76"/>
      <c r="AH64" s="76"/>
    </row>
    <row r="65" spans="15:34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6"/>
      <c r="AC65" s="76"/>
      <c r="AD65" s="76"/>
      <c r="AE65" s="76"/>
      <c r="AF65" s="76"/>
      <c r="AG65" s="76"/>
      <c r="AH65" s="76"/>
    </row>
    <row r="66" spans="15:34" customFormat="1"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7"/>
      <c r="AA66" s="76"/>
      <c r="AB66" s="76"/>
      <c r="AC66" s="76"/>
      <c r="AD66" s="76"/>
      <c r="AE66" s="76"/>
      <c r="AF66" s="76"/>
      <c r="AG66" s="76"/>
      <c r="AH66" s="76"/>
    </row>
    <row r="67" spans="15:34"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76"/>
      <c r="AC67" s="76"/>
      <c r="AD67" s="76"/>
      <c r="AE67" s="76"/>
      <c r="AF67" s="76"/>
      <c r="AG67" s="76"/>
      <c r="AH67" s="76"/>
    </row>
    <row r="68" spans="15:34"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7"/>
      <c r="AB68" s="76"/>
      <c r="AC68" s="76"/>
      <c r="AD68" s="76"/>
      <c r="AE68" s="76"/>
      <c r="AF68" s="76"/>
      <c r="AG68" s="76"/>
      <c r="AH68" s="76"/>
    </row>
    <row r="69" spans="15:34"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7"/>
      <c r="AB69" s="76"/>
      <c r="AC69" s="76"/>
      <c r="AD69" s="76"/>
      <c r="AE69" s="76"/>
      <c r="AF69" s="76"/>
      <c r="AG69" s="76"/>
      <c r="AH69" s="76"/>
    </row>
    <row r="70" spans="15:34"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76"/>
      <c r="AC70" s="76"/>
      <c r="AD70" s="76"/>
      <c r="AE70" s="76"/>
      <c r="AF70" s="76"/>
      <c r="AG70" s="76"/>
      <c r="AH70" s="76"/>
    </row>
    <row r="71" spans="15:34"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7"/>
      <c r="AB71" s="76"/>
      <c r="AC71" s="76"/>
      <c r="AD71" s="76"/>
      <c r="AE71" s="76"/>
      <c r="AF71" s="76"/>
      <c r="AG71" s="76"/>
      <c r="AH71" s="76"/>
    </row>
    <row r="72" spans="15:34"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7"/>
      <c r="AB72" s="76"/>
      <c r="AC72" s="76"/>
      <c r="AD72" s="76"/>
      <c r="AE72" s="76"/>
      <c r="AF72" s="76"/>
      <c r="AG72" s="76"/>
      <c r="AH72" s="76"/>
    </row>
    <row r="73" spans="15:34"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7"/>
      <c r="AB73" s="76"/>
      <c r="AC73" s="76"/>
      <c r="AD73" s="76"/>
      <c r="AE73" s="76"/>
      <c r="AF73" s="76"/>
      <c r="AG73" s="76"/>
      <c r="AH73" s="76"/>
    </row>
    <row r="74" spans="15:34"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7"/>
      <c r="AB74" s="76"/>
      <c r="AC74" s="76"/>
      <c r="AD74" s="76"/>
      <c r="AE74" s="76"/>
      <c r="AF74" s="76"/>
      <c r="AG74" s="76"/>
      <c r="AH74" s="76"/>
    </row>
    <row r="75" spans="15:34"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7"/>
      <c r="AB75" s="76"/>
      <c r="AC75" s="76"/>
      <c r="AD75" s="76"/>
      <c r="AE75" s="76"/>
      <c r="AF75" s="76"/>
      <c r="AG75" s="76"/>
      <c r="AH75" s="76"/>
    </row>
    <row r="76" spans="15:34"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7"/>
      <c r="AB76" s="76"/>
      <c r="AC76" s="76"/>
      <c r="AD76" s="76"/>
      <c r="AE76" s="76"/>
      <c r="AF76" s="76"/>
      <c r="AG76" s="76"/>
      <c r="AH76" s="76"/>
    </row>
    <row r="77" spans="15:34"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7"/>
      <c r="AB77" s="76"/>
      <c r="AC77" s="76"/>
      <c r="AD77" s="76"/>
      <c r="AE77" s="76"/>
      <c r="AF77" s="76"/>
      <c r="AG77" s="76"/>
      <c r="AH77" s="76"/>
    </row>
    <row r="78" spans="15:34"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7"/>
      <c r="AB78" s="76"/>
      <c r="AC78" s="76"/>
      <c r="AD78" s="76"/>
      <c r="AE78" s="76"/>
      <c r="AF78" s="76"/>
      <c r="AG78" s="76"/>
      <c r="AH78" s="76"/>
    </row>
    <row r="79" spans="15:34"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7"/>
      <c r="AB79" s="76"/>
      <c r="AC79" s="76"/>
      <c r="AD79" s="76"/>
      <c r="AE79" s="76"/>
      <c r="AF79" s="76"/>
      <c r="AG79" s="76"/>
      <c r="AH79" s="76"/>
    </row>
    <row r="80" spans="15:34"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7"/>
      <c r="AB80" s="76"/>
      <c r="AC80" s="76"/>
      <c r="AD80" s="76"/>
      <c r="AE80" s="76"/>
      <c r="AF80" s="76"/>
      <c r="AG80" s="76"/>
      <c r="AH80" s="76"/>
    </row>
    <row r="81" spans="15:34"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7"/>
      <c r="AB81" s="76"/>
      <c r="AC81" s="76"/>
      <c r="AD81" s="76"/>
      <c r="AE81" s="76"/>
      <c r="AF81" s="76"/>
      <c r="AG81" s="76"/>
      <c r="AH81" s="76"/>
    </row>
    <row r="82" spans="15:34"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7"/>
      <c r="AB82" s="76"/>
      <c r="AC82" s="76"/>
      <c r="AD82" s="76"/>
      <c r="AE82" s="76"/>
      <c r="AF82" s="76"/>
      <c r="AG82" s="76"/>
      <c r="AH82" s="76"/>
    </row>
    <row r="83" spans="15:34"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7"/>
      <c r="AB83" s="76"/>
      <c r="AC83" s="76"/>
      <c r="AD83" s="76"/>
      <c r="AE83" s="76"/>
      <c r="AF83" s="76"/>
      <c r="AG83" s="76"/>
      <c r="AH83" s="76"/>
    </row>
    <row r="84" spans="15:34"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7"/>
      <c r="AB84" s="76"/>
      <c r="AC84" s="76"/>
      <c r="AD84" s="76"/>
      <c r="AE84" s="76"/>
      <c r="AF84" s="76"/>
      <c r="AG84" s="76"/>
      <c r="AH84" s="76"/>
    </row>
    <row r="85" spans="15:34"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7"/>
      <c r="AB85" s="76"/>
      <c r="AC85" s="76"/>
      <c r="AD85" s="76"/>
      <c r="AE85" s="76"/>
      <c r="AF85" s="76"/>
      <c r="AG85" s="76"/>
      <c r="AH85" s="76"/>
    </row>
    <row r="86" spans="15:34"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7"/>
      <c r="AB86" s="76"/>
      <c r="AC86" s="76"/>
      <c r="AD86" s="76"/>
      <c r="AE86" s="76"/>
      <c r="AF86" s="76"/>
      <c r="AG86" s="76"/>
      <c r="AH86" s="76"/>
    </row>
    <row r="87" spans="15:34"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7"/>
      <c r="AB87" s="76"/>
      <c r="AC87" s="76"/>
      <c r="AD87" s="76"/>
      <c r="AE87" s="76"/>
      <c r="AF87" s="76"/>
      <c r="AG87" s="76"/>
      <c r="AH87" s="76"/>
    </row>
    <row r="88" spans="15:34"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7"/>
      <c r="AB88" s="76"/>
      <c r="AC88" s="76"/>
      <c r="AD88" s="76"/>
      <c r="AE88" s="76"/>
      <c r="AF88" s="76"/>
      <c r="AG88" s="76"/>
      <c r="AH88" s="76"/>
    </row>
    <row r="89" spans="15:34"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7"/>
      <c r="AB89" s="76"/>
      <c r="AC89" s="76"/>
      <c r="AD89" s="76"/>
      <c r="AE89" s="76"/>
      <c r="AF89" s="76"/>
      <c r="AG89" s="76"/>
      <c r="AH89" s="76"/>
    </row>
    <row r="90" spans="15:34"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7"/>
      <c r="AB90" s="76"/>
      <c r="AC90" s="76"/>
      <c r="AD90" s="76"/>
      <c r="AE90" s="76"/>
      <c r="AF90" s="76"/>
      <c r="AG90" s="76"/>
      <c r="AH90" s="76"/>
    </row>
    <row r="91" spans="15:34"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7"/>
      <c r="AB91" s="76"/>
      <c r="AC91" s="76"/>
      <c r="AD91" s="76"/>
      <c r="AE91" s="76"/>
      <c r="AF91" s="76"/>
      <c r="AG91" s="76"/>
      <c r="AH91" s="76"/>
    </row>
    <row r="92" spans="15:34"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7"/>
      <c r="AB92" s="76"/>
      <c r="AC92" s="76"/>
      <c r="AD92" s="76"/>
      <c r="AE92" s="76"/>
      <c r="AF92" s="76"/>
      <c r="AG92" s="76"/>
      <c r="AH92" s="76"/>
    </row>
    <row r="93" spans="15:34"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7"/>
      <c r="AB93" s="76"/>
      <c r="AC93" s="76"/>
      <c r="AD93" s="76"/>
      <c r="AE93" s="76"/>
      <c r="AF93" s="76"/>
      <c r="AG93" s="76"/>
      <c r="AH93" s="76"/>
    </row>
    <row r="94" spans="15:34"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7"/>
      <c r="AB94" s="76"/>
      <c r="AC94" s="76"/>
      <c r="AD94" s="76"/>
      <c r="AE94" s="76"/>
      <c r="AF94" s="76"/>
      <c r="AG94" s="76"/>
      <c r="AH94" s="76"/>
    </row>
    <row r="95" spans="15:34"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7"/>
      <c r="AB95" s="76"/>
      <c r="AC95" s="76"/>
      <c r="AD95" s="76"/>
      <c r="AE95" s="76"/>
      <c r="AF95" s="76"/>
      <c r="AG95" s="76"/>
      <c r="AH95" s="76"/>
    </row>
    <row r="96" spans="15:34"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7"/>
      <c r="AB96" s="76"/>
      <c r="AC96" s="76"/>
      <c r="AD96" s="76"/>
      <c r="AE96" s="76"/>
      <c r="AF96" s="76"/>
      <c r="AG96" s="76"/>
      <c r="AH96" s="76"/>
    </row>
    <row r="97" spans="15:34"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7"/>
      <c r="AB97" s="76"/>
      <c r="AC97" s="76"/>
      <c r="AD97" s="76"/>
      <c r="AE97" s="76"/>
      <c r="AF97" s="76"/>
      <c r="AG97" s="76"/>
      <c r="AH97" s="76"/>
    </row>
    <row r="98" spans="15:34"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7"/>
      <c r="AB98" s="76"/>
      <c r="AC98" s="76"/>
      <c r="AD98" s="76"/>
      <c r="AE98" s="76"/>
      <c r="AF98" s="76"/>
      <c r="AG98" s="76"/>
      <c r="AH98" s="76"/>
    </row>
    <row r="99" spans="15:34"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7"/>
      <c r="AB99" s="76"/>
      <c r="AC99" s="76"/>
      <c r="AD99" s="76"/>
      <c r="AE99" s="76"/>
      <c r="AF99" s="76"/>
      <c r="AG99" s="76"/>
      <c r="AH99" s="76"/>
    </row>
    <row r="100" spans="15:34"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7"/>
      <c r="AB100" s="76"/>
      <c r="AC100" s="76"/>
      <c r="AD100" s="76"/>
      <c r="AE100" s="76"/>
      <c r="AF100" s="76"/>
      <c r="AG100" s="76"/>
      <c r="AH100" s="76"/>
    </row>
    <row r="101" spans="15:34"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7"/>
      <c r="AB101" s="76"/>
      <c r="AC101" s="76"/>
      <c r="AD101" s="76"/>
      <c r="AE101" s="76"/>
      <c r="AF101" s="76"/>
      <c r="AG101" s="76"/>
      <c r="AH101" s="76"/>
    </row>
    <row r="102" spans="15:34"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7"/>
      <c r="AB102" s="76"/>
      <c r="AC102" s="76"/>
      <c r="AD102" s="76"/>
      <c r="AE102" s="76"/>
      <c r="AF102" s="76"/>
      <c r="AG102" s="76"/>
      <c r="AH102" s="76"/>
    </row>
    <row r="103" spans="15:34"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7"/>
      <c r="AB103" s="76"/>
      <c r="AC103" s="76"/>
      <c r="AD103" s="76"/>
      <c r="AE103" s="76"/>
      <c r="AF103" s="76"/>
      <c r="AG103" s="76"/>
      <c r="AH103" s="76"/>
    </row>
    <row r="104" spans="15:34"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7"/>
      <c r="AB104" s="76"/>
      <c r="AC104" s="76"/>
      <c r="AD104" s="76"/>
      <c r="AE104" s="76"/>
      <c r="AF104" s="76"/>
      <c r="AG104" s="76"/>
      <c r="AH104" s="76"/>
    </row>
    <row r="105" spans="15:34"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7"/>
      <c r="AB105" s="76"/>
      <c r="AC105" s="76"/>
      <c r="AD105" s="76"/>
      <c r="AE105" s="76"/>
      <c r="AF105" s="76"/>
      <c r="AG105" s="76"/>
      <c r="AH105" s="76"/>
    </row>
    <row r="106" spans="15:34"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7"/>
      <c r="AB106" s="76"/>
      <c r="AC106" s="76"/>
      <c r="AD106" s="76"/>
      <c r="AE106" s="76"/>
      <c r="AF106" s="76"/>
      <c r="AG106" s="76"/>
      <c r="AH106" s="76"/>
    </row>
    <row r="107" spans="15:34"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7"/>
      <c r="AB107" s="76"/>
      <c r="AC107" s="76"/>
      <c r="AD107" s="76"/>
      <c r="AE107" s="76"/>
      <c r="AF107" s="76"/>
      <c r="AG107" s="76"/>
      <c r="AH107" s="76"/>
    </row>
    <row r="108" spans="15:34"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7"/>
      <c r="AB108" s="76"/>
      <c r="AC108" s="76"/>
      <c r="AD108" s="76"/>
      <c r="AE108" s="76"/>
      <c r="AF108" s="76"/>
      <c r="AG108" s="76"/>
      <c r="AH108" s="76"/>
    </row>
    <row r="109" spans="15:34"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7"/>
      <c r="AB109" s="76"/>
      <c r="AC109" s="76"/>
      <c r="AD109" s="76"/>
      <c r="AE109" s="76"/>
      <c r="AF109" s="76"/>
      <c r="AG109" s="76"/>
      <c r="AH109" s="76"/>
    </row>
    <row r="110" spans="15:34"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7"/>
      <c r="AB110" s="76"/>
      <c r="AC110" s="76"/>
      <c r="AD110" s="76"/>
      <c r="AE110" s="76"/>
      <c r="AF110" s="76"/>
      <c r="AG110" s="76"/>
      <c r="AH110" s="76"/>
    </row>
    <row r="111" spans="15:34"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7"/>
      <c r="AB111" s="76"/>
      <c r="AC111" s="76"/>
      <c r="AD111" s="76"/>
      <c r="AE111" s="76"/>
      <c r="AF111" s="76"/>
      <c r="AG111" s="76"/>
      <c r="AH111" s="76"/>
    </row>
    <row r="112" spans="15:34"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7"/>
      <c r="AB112" s="76"/>
      <c r="AC112" s="76"/>
      <c r="AD112" s="76"/>
      <c r="AE112" s="76"/>
      <c r="AF112" s="76"/>
      <c r="AG112" s="76"/>
      <c r="AH112" s="76"/>
    </row>
    <row r="113" spans="15:34"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7"/>
      <c r="AB113" s="76"/>
      <c r="AC113" s="76"/>
      <c r="AD113" s="76"/>
      <c r="AE113" s="76"/>
      <c r="AF113" s="76"/>
      <c r="AG113" s="76"/>
      <c r="AH113" s="76"/>
    </row>
    <row r="114" spans="15:34"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7"/>
      <c r="AB114" s="76"/>
      <c r="AC114" s="76"/>
      <c r="AD114" s="76"/>
      <c r="AE114" s="76"/>
      <c r="AF114" s="76"/>
      <c r="AG114" s="76"/>
      <c r="AH114" s="76"/>
    </row>
    <row r="115" spans="15:34"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7"/>
      <c r="AB115" s="76"/>
      <c r="AC115" s="76"/>
      <c r="AD115" s="76"/>
      <c r="AE115" s="76"/>
      <c r="AF115" s="76"/>
      <c r="AG115" s="76"/>
      <c r="AH115" s="76"/>
    </row>
    <row r="116" spans="15:34"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7"/>
      <c r="AB116" s="76"/>
      <c r="AC116" s="76"/>
      <c r="AD116" s="76"/>
      <c r="AE116" s="76"/>
      <c r="AF116" s="76"/>
      <c r="AG116" s="76"/>
      <c r="AH116" s="76"/>
    </row>
    <row r="117" spans="15:34"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7"/>
      <c r="AB117" s="76"/>
      <c r="AC117" s="76"/>
      <c r="AD117" s="76"/>
      <c r="AE117" s="76"/>
      <c r="AF117" s="76"/>
      <c r="AG117" s="76"/>
      <c r="AH117" s="76"/>
    </row>
    <row r="118" spans="15:34"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7"/>
      <c r="AB118" s="76"/>
      <c r="AC118" s="76"/>
      <c r="AD118" s="76"/>
      <c r="AE118" s="76"/>
      <c r="AF118" s="76"/>
      <c r="AG118" s="76"/>
      <c r="AH118" s="76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Q4:Q51 R14:R20 R23:R29 R32:R38 R41:R47 R50:R51 R5:R11 T14:U20 T23:U29 T32:U38 T41:U47 T50:U51 T5:U11">
    <cfRule type="cellIs" dxfId="15105" priority="2396" stopIfTrue="1" operator="lessThan">
      <formula>0</formula>
    </cfRule>
  </conditionalFormatting>
  <conditionalFormatting sqref="B14:B20 B23:B29 B49:B51 B40:B47 B53 B31:B38 D3 B5:B11">
    <cfRule type="cellIs" dxfId="15104" priority="2397" stopIfTrue="1" operator="notBetween">
      <formula>$B$2</formula>
      <formula>$B$3</formula>
    </cfRule>
  </conditionalFormatting>
  <conditionalFormatting sqref="B14:B20 B23:B29 B49:B51 B40:B47 B53 B31:B38 D3 B5:B11">
    <cfRule type="cellIs" dxfId="15103" priority="2398" operator="greaterThan">
      <formula>$E$3</formula>
    </cfRule>
    <cfRule type="cellIs" dxfId="15102" priority="2399" operator="equal">
      <formula>$E$3</formula>
    </cfRule>
    <cfRule type="cellIs" dxfId="15101" priority="2400" operator="lessThan">
      <formula>$E$3</formula>
    </cfRule>
  </conditionalFormatting>
  <conditionalFormatting sqref="F58:H58 F55:H55">
    <cfRule type="expression" dxfId="15100" priority="2395">
      <formula>$F55&gt;=$F56</formula>
    </cfRule>
  </conditionalFormatting>
  <conditionalFormatting sqref="F5:H10 F14:G20 F23:G29 F38:H38 F41:H47 F11:G11 F32:G37">
    <cfRule type="cellIs" dxfId="15099" priority="2385" stopIfTrue="1" operator="lessThan">
      <formula>0</formula>
    </cfRule>
  </conditionalFormatting>
  <conditionalFormatting sqref="C32:C38 C41:C47 C50:C51 C14:C20 C23:C29 C5:C11">
    <cfRule type="cellIs" dxfId="15098" priority="2390" stopIfTrue="1" operator="notBetween">
      <formula>$B$2</formula>
      <formula>$B$3</formula>
    </cfRule>
  </conditionalFormatting>
  <conditionalFormatting sqref="C41:C47 C50:C51 C32:C38 C14:C20 C23:C29 C5:C11">
    <cfRule type="cellIs" dxfId="15097" priority="2391" operator="greaterThan">
      <formula>$E$3</formula>
    </cfRule>
    <cfRule type="cellIs" dxfId="15096" priority="2392" operator="equal">
      <formula>$E$3</formula>
    </cfRule>
    <cfRule type="cellIs" dxfId="15095" priority="2393" operator="lessThan">
      <formula>$E$3</formula>
    </cfRule>
  </conditionalFormatting>
  <conditionalFormatting sqref="F14:G20 F23:G29 F38:H38 F41:H47 F32:G37">
    <cfRule type="expression" dxfId="15094" priority="2389">
      <formula>$C14&lt;$E$3</formula>
    </cfRule>
  </conditionalFormatting>
  <conditionalFormatting sqref="F5:H10 F14:G20 F23:G29 F38:H38 F41:H47 F11:G11 F32:G37">
    <cfRule type="expression" dxfId="15093" priority="2386">
      <formula>$C5=$E$3</formula>
    </cfRule>
    <cfRule type="expression" dxfId="15092" priority="2387">
      <formula>$C5&lt;$E$3</formula>
    </cfRule>
    <cfRule type="cellIs" dxfId="15091" priority="2388" operator="equal">
      <formula>0</formula>
    </cfRule>
    <cfRule type="expression" dxfId="15090" priority="2394">
      <formula>$C5&gt;$E$3</formula>
    </cfRule>
  </conditionalFormatting>
  <conditionalFormatting sqref="F12:G12">
    <cfRule type="expression" dxfId="15089" priority="2384">
      <formula>$F12&gt;=$F13</formula>
    </cfRule>
  </conditionalFormatting>
  <conditionalFormatting sqref="F21:G21">
    <cfRule type="expression" dxfId="15088" priority="2383">
      <formula>$F21&gt;=$F22</formula>
    </cfRule>
  </conditionalFormatting>
  <conditionalFormatting sqref="F39:H39">
    <cfRule type="expression" dxfId="15087" priority="2382">
      <formula>$F39&gt;=$F40</formula>
    </cfRule>
  </conditionalFormatting>
  <conditionalFormatting sqref="F30:G30">
    <cfRule type="expression" dxfId="15086" priority="2381">
      <formula>$F30&gt;=$F31</formula>
    </cfRule>
  </conditionalFormatting>
  <conditionalFormatting sqref="F48:H48">
    <cfRule type="expression" dxfId="15085" priority="2379" stopIfTrue="1">
      <formula>$H$48=-1E-55</formula>
    </cfRule>
    <cfRule type="expression" dxfId="15084" priority="2380">
      <formula>$F48&gt;=$F49</formula>
    </cfRule>
  </conditionalFormatting>
  <conditionalFormatting sqref="F14:G20 F23:G29 F38:H38 F41:H47 F32:G37">
    <cfRule type="expression" dxfId="15083" priority="2378">
      <formula>$C14&lt;$E$3</formula>
    </cfRule>
  </conditionalFormatting>
  <conditionalFormatting sqref="F14:G20 F5:H10 F23:G29 F38:H38 F41:H47 F11:G11 F32:G37">
    <cfRule type="expression" dxfId="15082" priority="2374">
      <formula>$C5=$E$3</formula>
    </cfRule>
    <cfRule type="expression" dxfId="15081" priority="2375">
      <formula>$C5&lt;$E$3</formula>
    </cfRule>
    <cfRule type="cellIs" dxfId="15080" priority="2376" operator="equal">
      <formula>0</formula>
    </cfRule>
    <cfRule type="expression" dxfId="15079" priority="2377">
      <formula>$C5&gt;$E$3</formula>
    </cfRule>
  </conditionalFormatting>
  <conditionalFormatting sqref="F12:G12">
    <cfRule type="expression" dxfId="15078" priority="2373">
      <formula>$F12&gt;=$F13</formula>
    </cfRule>
  </conditionalFormatting>
  <conditionalFormatting sqref="F21:G21">
    <cfRule type="expression" dxfId="15077" priority="2372">
      <formula>$F21&gt;=$F22</formula>
    </cfRule>
  </conditionalFormatting>
  <conditionalFormatting sqref="F39:H39">
    <cfRule type="expression" dxfId="15076" priority="2371">
      <formula>$F39&gt;=$F40</formula>
    </cfRule>
  </conditionalFormatting>
  <conditionalFormatting sqref="F30:G30">
    <cfRule type="expression" dxfId="15075" priority="2370">
      <formula>$F30&gt;=$F31</formula>
    </cfRule>
  </conditionalFormatting>
  <conditionalFormatting sqref="F48:H48">
    <cfRule type="expression" dxfId="15074" priority="2368" stopIfTrue="1">
      <formula>$E$41=""</formula>
    </cfRule>
    <cfRule type="expression" dxfId="15073" priority="2369">
      <formula>$F48&gt;=$F49</formula>
    </cfRule>
  </conditionalFormatting>
  <conditionalFormatting sqref="F41:H47">
    <cfRule type="expression" dxfId="15072" priority="2367">
      <formula>$E41=""</formula>
    </cfRule>
  </conditionalFormatting>
  <conditionalFormatting sqref="F47:H47">
    <cfRule type="expression" dxfId="15071" priority="2366">
      <formula>$E$46=""</formula>
    </cfRule>
  </conditionalFormatting>
  <conditionalFormatting sqref="F45:H45">
    <cfRule type="expression" dxfId="15070" priority="2365">
      <formula>$E45=""</formula>
    </cfRule>
  </conditionalFormatting>
  <conditionalFormatting sqref="F5:H10 F11:G11">
    <cfRule type="expression" dxfId="15069" priority="2364">
      <formula>$C5&lt;$E$3</formula>
    </cfRule>
  </conditionalFormatting>
  <conditionalFormatting sqref="F5:H10 F11:G11">
    <cfRule type="expression" dxfId="15068" priority="2363">
      <formula>$E5=""</formula>
    </cfRule>
  </conditionalFormatting>
  <conditionalFormatting sqref="F5:H10 F11:G11">
    <cfRule type="expression" dxfId="15067" priority="2359">
      <formula>$C5=$E$3</formula>
    </cfRule>
    <cfRule type="expression" dxfId="15066" priority="2360">
      <formula>$C5&lt;$E$3</formula>
    </cfRule>
    <cfRule type="cellIs" dxfId="15065" priority="2361" operator="equal">
      <formula>0</formula>
    </cfRule>
    <cfRule type="expression" dxfId="15064" priority="2362">
      <formula>$C5&gt;$E$3</formula>
    </cfRule>
  </conditionalFormatting>
  <conditionalFormatting sqref="F5:H10 F11:G11">
    <cfRule type="expression" dxfId="15063" priority="2358">
      <formula>$C5&lt;$E$3</formula>
    </cfRule>
  </conditionalFormatting>
  <conditionalFormatting sqref="F5:H10 F11:G11">
    <cfRule type="expression" dxfId="15062" priority="2357">
      <formula>$E5=""</formula>
    </cfRule>
  </conditionalFormatting>
  <conditionalFormatting sqref="F14:G20">
    <cfRule type="expression" dxfId="15061" priority="2356">
      <formula>$C14&lt;$E$3</formula>
    </cfRule>
  </conditionalFormatting>
  <conditionalFormatting sqref="F14:G20">
    <cfRule type="expression" dxfId="15060" priority="2352">
      <formula>$C14=$E$3</formula>
    </cfRule>
    <cfRule type="expression" dxfId="15059" priority="2353">
      <formula>$C14&lt;$E$3</formula>
    </cfRule>
    <cfRule type="cellIs" dxfId="15058" priority="2354" operator="equal">
      <formula>0</formula>
    </cfRule>
    <cfRule type="expression" dxfId="15057" priority="2355">
      <formula>$C14&gt;$E$3</formula>
    </cfRule>
  </conditionalFormatting>
  <conditionalFormatting sqref="F5:H10 F11:G11">
    <cfRule type="expression" dxfId="15056" priority="2351">
      <formula>$C5&lt;$E$3</formula>
    </cfRule>
  </conditionalFormatting>
  <conditionalFormatting sqref="F5:H10 F11:G11">
    <cfRule type="expression" dxfId="15055" priority="2347">
      <formula>$C5=$E$3</formula>
    </cfRule>
    <cfRule type="expression" dxfId="15054" priority="2348">
      <formula>$C5&lt;$E$3</formula>
    </cfRule>
    <cfRule type="cellIs" dxfId="15053" priority="2349" operator="equal">
      <formula>0</formula>
    </cfRule>
    <cfRule type="expression" dxfId="15052" priority="2350">
      <formula>$C5&gt;$E$3</formula>
    </cfRule>
  </conditionalFormatting>
  <conditionalFormatting sqref="F5:H10 F11:G11">
    <cfRule type="expression" dxfId="15051" priority="2346">
      <formula>$E5=""</formula>
    </cfRule>
  </conditionalFormatting>
  <conditionalFormatting sqref="F5:H10 F11:G11">
    <cfRule type="expression" dxfId="15050" priority="2345">
      <formula>$C5&lt;$E$3</formula>
    </cfRule>
  </conditionalFormatting>
  <conditionalFormatting sqref="F5:H10 F11:G11">
    <cfRule type="expression" dxfId="15049" priority="2344">
      <formula>$E5=""</formula>
    </cfRule>
  </conditionalFormatting>
  <conditionalFormatting sqref="F5:H10 F11:G11">
    <cfRule type="expression" dxfId="15048" priority="2343">
      <formula>$E5=""</formula>
    </cfRule>
  </conditionalFormatting>
  <conditionalFormatting sqref="F5:H10 F11:G11">
    <cfRule type="expression" dxfId="15047" priority="2342">
      <formula>$C5&lt;$E$3</formula>
    </cfRule>
  </conditionalFormatting>
  <conditionalFormatting sqref="F5:H10 F11:G11">
    <cfRule type="expression" dxfId="15046" priority="2341">
      <formula>$E5=""</formula>
    </cfRule>
  </conditionalFormatting>
  <conditionalFormatting sqref="F5:H10 F11:G11">
    <cfRule type="expression" dxfId="15045" priority="2340">
      <formula>$C5&lt;$E$3</formula>
    </cfRule>
  </conditionalFormatting>
  <conditionalFormatting sqref="F5:H10 F11:G11">
    <cfRule type="expression" dxfId="15044" priority="2339">
      <formula>$E5=""</formula>
    </cfRule>
  </conditionalFormatting>
  <conditionalFormatting sqref="F5:H10 F11:G11">
    <cfRule type="expression" dxfId="15043" priority="2338">
      <formula>$C5&lt;$E$3</formula>
    </cfRule>
  </conditionalFormatting>
  <conditionalFormatting sqref="F5:H10 F11:G11">
    <cfRule type="expression" dxfId="15042" priority="2337">
      <formula>$E5=""</formula>
    </cfRule>
  </conditionalFormatting>
  <conditionalFormatting sqref="F14:G20">
    <cfRule type="expression" dxfId="15041" priority="2336">
      <formula>$C14&lt;$E$3</formula>
    </cfRule>
  </conditionalFormatting>
  <conditionalFormatting sqref="F14:G20">
    <cfRule type="expression" dxfId="15040" priority="2332">
      <formula>$C14=$E$3</formula>
    </cfRule>
    <cfRule type="expression" dxfId="15039" priority="2333">
      <formula>$C14&lt;$E$3</formula>
    </cfRule>
    <cfRule type="cellIs" dxfId="15038" priority="2334" operator="equal">
      <formula>0</formula>
    </cfRule>
    <cfRule type="expression" dxfId="15037" priority="2335">
      <formula>$C14&gt;$E$3</formula>
    </cfRule>
  </conditionalFormatting>
  <conditionalFormatting sqref="F14:G20">
    <cfRule type="expression" dxfId="15036" priority="2331">
      <formula>$E14=""</formula>
    </cfRule>
  </conditionalFormatting>
  <conditionalFormatting sqref="F14:G20">
    <cfRule type="expression" dxfId="15035" priority="2330">
      <formula>$C14&lt;$E$3</formula>
    </cfRule>
  </conditionalFormatting>
  <conditionalFormatting sqref="F14:G20">
    <cfRule type="expression" dxfId="15034" priority="2329">
      <formula>$E14=""</formula>
    </cfRule>
  </conditionalFormatting>
  <conditionalFormatting sqref="F14:G20">
    <cfRule type="expression" dxfId="15033" priority="2328">
      <formula>$E14=""</formula>
    </cfRule>
  </conditionalFormatting>
  <conditionalFormatting sqref="F14:G20">
    <cfRule type="expression" dxfId="15032" priority="2327">
      <formula>$C14&lt;$E$3</formula>
    </cfRule>
  </conditionalFormatting>
  <conditionalFormatting sqref="F14:G20">
    <cfRule type="expression" dxfId="15031" priority="2326">
      <formula>$E14=""</formula>
    </cfRule>
  </conditionalFormatting>
  <conditionalFormatting sqref="F14:G20">
    <cfRule type="expression" dxfId="15030" priority="2325">
      <formula>$C14&lt;$E$3</formula>
    </cfRule>
  </conditionalFormatting>
  <conditionalFormatting sqref="F14:G20">
    <cfRule type="expression" dxfId="15029" priority="2324">
      <formula>$E14=""</formula>
    </cfRule>
  </conditionalFormatting>
  <conditionalFormatting sqref="F14:G20">
    <cfRule type="expression" dxfId="15028" priority="2323">
      <formula>$C14&lt;$E$3</formula>
    </cfRule>
  </conditionalFormatting>
  <conditionalFormatting sqref="F14:G20">
    <cfRule type="expression" dxfId="15027" priority="2322">
      <formula>$E14=""</formula>
    </cfRule>
  </conditionalFormatting>
  <conditionalFormatting sqref="F23:G29">
    <cfRule type="expression" dxfId="15026" priority="2321">
      <formula>$C23&lt;$E$3</formula>
    </cfRule>
  </conditionalFormatting>
  <conditionalFormatting sqref="F23:G29">
    <cfRule type="expression" dxfId="15025" priority="2317">
      <formula>$C23=$E$3</formula>
    </cfRule>
    <cfRule type="expression" dxfId="15024" priority="2318">
      <formula>$C23&lt;$E$3</formula>
    </cfRule>
    <cfRule type="cellIs" dxfId="15023" priority="2319" operator="equal">
      <formula>0</formula>
    </cfRule>
    <cfRule type="expression" dxfId="15022" priority="2320">
      <formula>$C23&gt;$E$3</formula>
    </cfRule>
  </conditionalFormatting>
  <conditionalFormatting sqref="F23:G29">
    <cfRule type="expression" dxfId="15021" priority="2316">
      <formula>$C23&lt;$E$3</formula>
    </cfRule>
  </conditionalFormatting>
  <conditionalFormatting sqref="F23:G29">
    <cfRule type="expression" dxfId="15020" priority="2312">
      <formula>$C23=$E$3</formula>
    </cfRule>
    <cfRule type="expression" dxfId="15019" priority="2313">
      <formula>$C23&lt;$E$3</formula>
    </cfRule>
    <cfRule type="cellIs" dxfId="15018" priority="2314" operator="equal">
      <formula>0</formula>
    </cfRule>
    <cfRule type="expression" dxfId="15017" priority="2315">
      <formula>$C23&gt;$E$3</formula>
    </cfRule>
  </conditionalFormatting>
  <conditionalFormatting sqref="F23:G29">
    <cfRule type="expression" dxfId="15016" priority="2311">
      <formula>$E23=""</formula>
    </cfRule>
  </conditionalFormatting>
  <conditionalFormatting sqref="F23:G29">
    <cfRule type="expression" dxfId="15015" priority="2310">
      <formula>$C23&lt;$E$3</formula>
    </cfRule>
  </conditionalFormatting>
  <conditionalFormatting sqref="F23:G29">
    <cfRule type="expression" dxfId="15014" priority="2309">
      <formula>$E23=""</formula>
    </cfRule>
  </conditionalFormatting>
  <conditionalFormatting sqref="F23:G29">
    <cfRule type="expression" dxfId="15013" priority="2308">
      <formula>$E23=""</formula>
    </cfRule>
  </conditionalFormatting>
  <conditionalFormatting sqref="F23:G29">
    <cfRule type="expression" dxfId="15012" priority="2307">
      <formula>$C23&lt;$E$3</formula>
    </cfRule>
  </conditionalFormatting>
  <conditionalFormatting sqref="F23:G29">
    <cfRule type="expression" dxfId="15011" priority="2306">
      <formula>$E23=""</formula>
    </cfRule>
  </conditionalFormatting>
  <conditionalFormatting sqref="F23:G29">
    <cfRule type="expression" dxfId="15010" priority="2305">
      <formula>$C23&lt;$E$3</formula>
    </cfRule>
  </conditionalFormatting>
  <conditionalFormatting sqref="F23:G29">
    <cfRule type="expression" dxfId="15009" priority="2304">
      <formula>$E23=""</formula>
    </cfRule>
  </conditionalFormatting>
  <conditionalFormatting sqref="F23:G29">
    <cfRule type="expression" dxfId="15008" priority="2303">
      <formula>$C23&lt;$E$3</formula>
    </cfRule>
  </conditionalFormatting>
  <conditionalFormatting sqref="F23:G29">
    <cfRule type="expression" dxfId="15007" priority="2302">
      <formula>$E23=""</formula>
    </cfRule>
  </conditionalFormatting>
  <conditionalFormatting sqref="F38:H38 F32:G37">
    <cfRule type="expression" dxfId="15006" priority="2301">
      <formula>$C32&lt;$E$3</formula>
    </cfRule>
  </conditionalFormatting>
  <conditionalFormatting sqref="F38:H38 F32:G37">
    <cfRule type="expression" dxfId="15005" priority="2297">
      <formula>$C32=$E$3</formula>
    </cfRule>
    <cfRule type="expression" dxfId="15004" priority="2298">
      <formula>$C32&lt;$E$3</formula>
    </cfRule>
    <cfRule type="cellIs" dxfId="15003" priority="2299" operator="equal">
      <formula>0</formula>
    </cfRule>
    <cfRule type="expression" dxfId="15002" priority="2300">
      <formula>$C32&gt;$E$3</formula>
    </cfRule>
  </conditionalFormatting>
  <conditionalFormatting sqref="F38:H38 F32:G37">
    <cfRule type="expression" dxfId="15001" priority="2296">
      <formula>$C32&lt;$E$3</formula>
    </cfRule>
  </conditionalFormatting>
  <conditionalFormatting sqref="F38:H38 F32:G37">
    <cfRule type="expression" dxfId="15000" priority="2292">
      <formula>$C32=$E$3</formula>
    </cfRule>
    <cfRule type="expression" dxfId="14999" priority="2293">
      <formula>$C32&lt;$E$3</formula>
    </cfRule>
    <cfRule type="cellIs" dxfId="14998" priority="2294" operator="equal">
      <formula>0</formula>
    </cfRule>
    <cfRule type="expression" dxfId="14997" priority="2295">
      <formula>$C32&gt;$E$3</formula>
    </cfRule>
  </conditionalFormatting>
  <conditionalFormatting sqref="F38:H38 F32:G37">
    <cfRule type="expression" dxfId="14996" priority="2291">
      <formula>$E32=""</formula>
    </cfRule>
  </conditionalFormatting>
  <conditionalFormatting sqref="F38:H38 F32:G37">
    <cfRule type="expression" dxfId="14995" priority="2290">
      <formula>$C32&lt;$E$3</formula>
    </cfRule>
  </conditionalFormatting>
  <conditionalFormatting sqref="F38:H38 F32:G37">
    <cfRule type="expression" dxfId="14994" priority="2289">
      <formula>$E32=""</formula>
    </cfRule>
  </conditionalFormatting>
  <conditionalFormatting sqref="F38:H38 F32:G37">
    <cfRule type="expression" dxfId="14993" priority="2288">
      <formula>$E32=""</formula>
    </cfRule>
  </conditionalFormatting>
  <conditionalFormatting sqref="F38:H38 F32:G37">
    <cfRule type="expression" dxfId="14992" priority="2287">
      <formula>$C32&lt;$E$3</formula>
    </cfRule>
  </conditionalFormatting>
  <conditionalFormatting sqref="F38:H38 F32:G37">
    <cfRule type="expression" dxfId="14991" priority="2286">
      <formula>$E32=""</formula>
    </cfRule>
  </conditionalFormatting>
  <conditionalFormatting sqref="F38:H38 F32:G37">
    <cfRule type="expression" dxfId="14990" priority="2285">
      <formula>$C32&lt;$E$3</formula>
    </cfRule>
  </conditionalFormatting>
  <conditionalFormatting sqref="F38:H38 F32:G37">
    <cfRule type="expression" dxfId="14989" priority="2284">
      <formula>$E32=""</formula>
    </cfRule>
  </conditionalFormatting>
  <conditionalFormatting sqref="F38:H38 F32:G37">
    <cfRule type="expression" dxfId="14988" priority="2283">
      <formula>$C32&lt;$E$3</formula>
    </cfRule>
  </conditionalFormatting>
  <conditionalFormatting sqref="F38:H38 F32:G37">
    <cfRule type="expression" dxfId="14987" priority="2282">
      <formula>$E32=""</formula>
    </cfRule>
  </conditionalFormatting>
  <conditionalFormatting sqref="F41:H47">
    <cfRule type="expression" dxfId="14986" priority="2281">
      <formula>$C41&lt;$E$3</formula>
    </cfRule>
  </conditionalFormatting>
  <conditionalFormatting sqref="F41:H47">
    <cfRule type="expression" dxfId="14985" priority="2277">
      <formula>$C41=$E$3</formula>
    </cfRule>
    <cfRule type="expression" dxfId="14984" priority="2278">
      <formula>$C41&lt;$E$3</formula>
    </cfRule>
    <cfRule type="cellIs" dxfId="14983" priority="2279" operator="equal">
      <formula>0</formula>
    </cfRule>
    <cfRule type="expression" dxfId="14982" priority="2280">
      <formula>$C41&gt;$E$3</formula>
    </cfRule>
  </conditionalFormatting>
  <conditionalFormatting sqref="F41:H47">
    <cfRule type="expression" dxfId="14981" priority="2276">
      <formula>$C41&lt;$E$3</formula>
    </cfRule>
  </conditionalFormatting>
  <conditionalFormatting sqref="F41:H47">
    <cfRule type="expression" dxfId="14980" priority="2272">
      <formula>$C41=$E$3</formula>
    </cfRule>
    <cfRule type="expression" dxfId="14979" priority="2273">
      <formula>$C41&lt;$E$3</formula>
    </cfRule>
    <cfRule type="cellIs" dxfId="14978" priority="2274" operator="equal">
      <formula>0</formula>
    </cfRule>
    <cfRule type="expression" dxfId="14977" priority="2275">
      <formula>$C41&gt;$E$3</formula>
    </cfRule>
  </conditionalFormatting>
  <conditionalFormatting sqref="F41:H47">
    <cfRule type="expression" dxfId="14976" priority="2271">
      <formula>$E41=""</formula>
    </cfRule>
  </conditionalFormatting>
  <conditionalFormatting sqref="F41:H47">
    <cfRule type="expression" dxfId="14975" priority="2270">
      <formula>$C41&lt;$E$3</formula>
    </cfRule>
  </conditionalFormatting>
  <conditionalFormatting sqref="F41:H47">
    <cfRule type="expression" dxfId="14974" priority="2269">
      <formula>$E41=""</formula>
    </cfRule>
  </conditionalFormatting>
  <conditionalFormatting sqref="F41:H47">
    <cfRule type="expression" dxfId="14973" priority="2268">
      <formula>$E41=""</formula>
    </cfRule>
  </conditionalFormatting>
  <conditionalFormatting sqref="F41:H47">
    <cfRule type="expression" dxfId="14972" priority="2267">
      <formula>$C41&lt;$E$3</formula>
    </cfRule>
  </conditionalFormatting>
  <conditionalFormatting sqref="F41:H47">
    <cfRule type="expression" dxfId="14971" priority="2266">
      <formula>$E41=""</formula>
    </cfRule>
  </conditionalFormatting>
  <conditionalFormatting sqref="F41:H47">
    <cfRule type="expression" dxfId="14970" priority="2265">
      <formula>$C41&lt;$E$3</formula>
    </cfRule>
  </conditionalFormatting>
  <conditionalFormatting sqref="F41:H47">
    <cfRule type="expression" dxfId="14969" priority="2264">
      <formula>$E41=""</formula>
    </cfRule>
  </conditionalFormatting>
  <conditionalFormatting sqref="F41:H47">
    <cfRule type="expression" dxfId="14968" priority="2263">
      <formula>$C41&lt;$E$3</formula>
    </cfRule>
  </conditionalFormatting>
  <conditionalFormatting sqref="F41:H47">
    <cfRule type="expression" dxfId="14967" priority="2262">
      <formula>$E41=""</formula>
    </cfRule>
  </conditionalFormatting>
  <conditionalFormatting sqref="F50:H51">
    <cfRule type="cellIs" dxfId="14966" priority="2261" stopIfTrue="1" operator="lessThan">
      <formula>0</formula>
    </cfRule>
  </conditionalFormatting>
  <conditionalFormatting sqref="F50:H51">
    <cfRule type="expression" dxfId="14965" priority="2260">
      <formula>$C50&lt;$E$3</formula>
    </cfRule>
  </conditionalFormatting>
  <conditionalFormatting sqref="F50:H51">
    <cfRule type="expression" dxfId="14964" priority="2256">
      <formula>$C50=$E$3</formula>
    </cfRule>
    <cfRule type="expression" dxfId="14963" priority="2257">
      <formula>$C50&lt;$E$3</formula>
    </cfRule>
    <cfRule type="cellIs" dxfId="14962" priority="2258" operator="equal">
      <formula>0</formula>
    </cfRule>
    <cfRule type="expression" dxfId="14961" priority="2259">
      <formula>$C50&gt;$E$3</formula>
    </cfRule>
  </conditionalFormatting>
  <conditionalFormatting sqref="F50:H51">
    <cfRule type="expression" dxfId="14960" priority="2255">
      <formula>$C50&lt;$E$3</formula>
    </cfRule>
  </conditionalFormatting>
  <conditionalFormatting sqref="F50:H51">
    <cfRule type="expression" dxfId="14959" priority="2251">
      <formula>$C50=$E$3</formula>
    </cfRule>
    <cfRule type="expression" dxfId="14958" priority="2252">
      <formula>$C50&lt;$E$3</formula>
    </cfRule>
    <cfRule type="cellIs" dxfId="14957" priority="2253" operator="equal">
      <formula>0</formula>
    </cfRule>
    <cfRule type="expression" dxfId="14956" priority="2254">
      <formula>$C50&gt;$E$3</formula>
    </cfRule>
  </conditionalFormatting>
  <conditionalFormatting sqref="F50:H51">
    <cfRule type="expression" dxfId="14955" priority="2250">
      <formula>$C50&lt;$E$3</formula>
    </cfRule>
  </conditionalFormatting>
  <conditionalFormatting sqref="F50:H51">
    <cfRule type="expression" dxfId="14954" priority="2246">
      <formula>$C50=$E$3</formula>
    </cfRule>
    <cfRule type="expression" dxfId="14953" priority="2247">
      <formula>$C50&lt;$E$3</formula>
    </cfRule>
    <cfRule type="cellIs" dxfId="14952" priority="2248" operator="equal">
      <formula>0</formula>
    </cfRule>
    <cfRule type="expression" dxfId="14951" priority="2249">
      <formula>$C50&gt;$E$3</formula>
    </cfRule>
  </conditionalFormatting>
  <conditionalFormatting sqref="F50:H51">
    <cfRule type="expression" dxfId="14950" priority="2245">
      <formula>$C50&lt;$E$3</formula>
    </cfRule>
  </conditionalFormatting>
  <conditionalFormatting sqref="F50:H51">
    <cfRule type="expression" dxfId="14949" priority="2241">
      <formula>$C50=$E$3</formula>
    </cfRule>
    <cfRule type="expression" dxfId="14948" priority="2242">
      <formula>$C50&lt;$E$3</formula>
    </cfRule>
    <cfRule type="cellIs" dxfId="14947" priority="2243" operator="equal">
      <formula>0</formula>
    </cfRule>
    <cfRule type="expression" dxfId="14946" priority="2244">
      <formula>$C50&gt;$E$3</formula>
    </cfRule>
  </conditionalFormatting>
  <conditionalFormatting sqref="F50:H51">
    <cfRule type="expression" dxfId="14945" priority="2240">
      <formula>$E50=""</formula>
    </cfRule>
  </conditionalFormatting>
  <conditionalFormatting sqref="F50:H51">
    <cfRule type="expression" dxfId="14944" priority="2239">
      <formula>$C50&lt;$E$3</formula>
    </cfRule>
  </conditionalFormatting>
  <conditionalFormatting sqref="F50:H51">
    <cfRule type="expression" dxfId="14943" priority="2238">
      <formula>$E50=""</formula>
    </cfRule>
  </conditionalFormatting>
  <conditionalFormatting sqref="F50:H51">
    <cfRule type="expression" dxfId="14942" priority="2237">
      <formula>$E50=""</formula>
    </cfRule>
  </conditionalFormatting>
  <conditionalFormatting sqref="F50:H51">
    <cfRule type="expression" dxfId="14941" priority="2236">
      <formula>$C50&lt;$E$3</formula>
    </cfRule>
  </conditionalFormatting>
  <conditionalFormatting sqref="F50:H51">
    <cfRule type="expression" dxfId="14940" priority="2235">
      <formula>$E50=""</formula>
    </cfRule>
  </conditionalFormatting>
  <conditionalFormatting sqref="F50:H51">
    <cfRule type="expression" dxfId="14939" priority="2234">
      <formula>$C50&lt;$E$3</formula>
    </cfRule>
  </conditionalFormatting>
  <conditionalFormatting sqref="F50:H51">
    <cfRule type="expression" dxfId="14938" priority="2233">
      <formula>$E50=""</formula>
    </cfRule>
  </conditionalFormatting>
  <conditionalFormatting sqref="F50:H51">
    <cfRule type="expression" dxfId="14937" priority="2232">
      <formula>$C50&lt;$E$3</formula>
    </cfRule>
  </conditionalFormatting>
  <conditionalFormatting sqref="F50:H51">
    <cfRule type="expression" dxfId="14936" priority="2231">
      <formula>$E50=""</formula>
    </cfRule>
  </conditionalFormatting>
  <conditionalFormatting sqref="E14:E20 E5:E11 E41:E47 E32:E38 E23:E29 E50:E51">
    <cfRule type="containsText" dxfId="14935" priority="2224" operator="containsText" text="Sa">
      <formula>NOT(ISERROR(SEARCH("Sa",E5)))</formula>
    </cfRule>
    <cfRule type="containsText" dxfId="14934" priority="2226" operator="containsText" text="Fr">
      <formula>NOT(ISERROR(SEARCH("Fr",E5)))</formula>
    </cfRule>
    <cfRule type="containsText" dxfId="14933" priority="2227" operator="containsText" text="Th">
      <formula>NOT(ISERROR(SEARCH("Th",E5)))</formula>
    </cfRule>
  </conditionalFormatting>
  <conditionalFormatting sqref="E14:E20 E5:E11 E41:E47 E32:E38 E23:E29 E50:E51">
    <cfRule type="containsText" dxfId="14932" priority="2228" operator="containsText" text="Wed">
      <formula>NOT(ISERROR(SEARCH("Wed",E5)))</formula>
    </cfRule>
    <cfRule type="containsText" dxfId="14931" priority="2229" operator="containsText" text="Tu">
      <formula>NOT(ISERROR(SEARCH("Tu",E5)))</formula>
    </cfRule>
    <cfRule type="beginsWith" dxfId="14930" priority="2230" operator="beginsWith" text="M">
      <formula>LEFT(E5,1)="M"</formula>
    </cfRule>
  </conditionalFormatting>
  <conditionalFormatting sqref="E14:E20 E5:E11 E41:E47 E32:E38 E23:E29 E50:E51">
    <cfRule type="containsText" dxfId="14929" priority="2225" operator="containsText" text="Su">
      <formula>NOT(ISERROR(SEARCH("Su",E5)))</formula>
    </cfRule>
  </conditionalFormatting>
  <conditionalFormatting sqref="C4">
    <cfRule type="cellIs" dxfId="14928" priority="2220" stopIfTrue="1" operator="notBetween">
      <formula>$B$2</formula>
      <formula>$B$3</formula>
    </cfRule>
  </conditionalFormatting>
  <conditionalFormatting sqref="C4">
    <cfRule type="cellIs" dxfId="14927" priority="2221" operator="greaterThan">
      <formula>$E$3</formula>
    </cfRule>
    <cfRule type="cellIs" dxfId="14926" priority="2222" operator="equal">
      <formula>$E$3</formula>
    </cfRule>
    <cfRule type="cellIs" dxfId="14925" priority="2223" operator="lessThan">
      <formula>$E$3</formula>
    </cfRule>
  </conditionalFormatting>
  <conditionalFormatting sqref="H33:H37">
    <cfRule type="expression" dxfId="14924" priority="1821">
      <formula>$C33&lt;$E$3</formula>
    </cfRule>
  </conditionalFormatting>
  <conditionalFormatting sqref="H33:H37">
    <cfRule type="expression" dxfId="14923" priority="1816">
      <formula>$C33&lt;$E$3</formula>
    </cfRule>
  </conditionalFormatting>
  <conditionalFormatting sqref="H33:H37">
    <cfRule type="expression" dxfId="14922" priority="1812">
      <formula>$C33=$E$3</formula>
    </cfRule>
    <cfRule type="expression" dxfId="14921" priority="1813">
      <formula>$C33&lt;$E$3</formula>
    </cfRule>
    <cfRule type="cellIs" dxfId="14920" priority="1814" operator="equal">
      <formula>0</formula>
    </cfRule>
    <cfRule type="expression" dxfId="14919" priority="1815">
      <formula>$C33&gt;$E$3</formula>
    </cfRule>
  </conditionalFormatting>
  <conditionalFormatting sqref="H33:H37">
    <cfRule type="expression" dxfId="14918" priority="1795">
      <formula>$C33&lt;$E$3</formula>
    </cfRule>
  </conditionalFormatting>
  <conditionalFormatting sqref="H33:H37">
    <cfRule type="expression" dxfId="14917" priority="1794">
      <formula>$E33=""</formula>
    </cfRule>
  </conditionalFormatting>
  <conditionalFormatting sqref="H33:H37">
    <cfRule type="expression" dxfId="14916" priority="1793">
      <formula>$C33&lt;$E$3</formula>
    </cfRule>
  </conditionalFormatting>
  <conditionalFormatting sqref="H23:H29 H32 H14:H20 H11">
    <cfRule type="cellIs" dxfId="14915" priority="2030" stopIfTrue="1" operator="lessThan">
      <formula>0</formula>
    </cfRule>
  </conditionalFormatting>
  <conditionalFormatting sqref="H12">
    <cfRule type="expression" dxfId="14914" priority="2029">
      <formula>$F12&gt;=$F13</formula>
    </cfRule>
  </conditionalFormatting>
  <conditionalFormatting sqref="H21">
    <cfRule type="expression" dxfId="14913" priority="2028">
      <formula>$F21&gt;=$F22</formula>
    </cfRule>
  </conditionalFormatting>
  <conditionalFormatting sqref="H30">
    <cfRule type="expression" dxfId="14912" priority="2027">
      <formula>$F30&gt;=$F31</formula>
    </cfRule>
  </conditionalFormatting>
  <conditionalFormatting sqref="H12">
    <cfRule type="expression" dxfId="14911" priority="2026">
      <formula>$F12&gt;=$F13</formula>
    </cfRule>
  </conditionalFormatting>
  <conditionalFormatting sqref="H21">
    <cfRule type="expression" dxfId="14910" priority="2025">
      <formula>$F21&gt;=$F22</formula>
    </cfRule>
  </conditionalFormatting>
  <conditionalFormatting sqref="H30">
    <cfRule type="expression" dxfId="14909" priority="2024">
      <formula>$F30&gt;=$F31</formula>
    </cfRule>
  </conditionalFormatting>
  <conditionalFormatting sqref="H11">
    <cfRule type="expression" dxfId="14908" priority="2022">
      <formula>$C11&lt;$E$3</formula>
    </cfRule>
  </conditionalFormatting>
  <conditionalFormatting sqref="H11">
    <cfRule type="expression" dxfId="14907" priority="2019">
      <formula>$C11=$E$3</formula>
    </cfRule>
    <cfRule type="expression" dxfId="14906" priority="2020">
      <formula>$C11&lt;$E$3</formula>
    </cfRule>
    <cfRule type="cellIs" dxfId="14905" priority="2021" operator="equal">
      <formula>0</formula>
    </cfRule>
    <cfRule type="expression" dxfId="14904" priority="2023">
      <formula>$C11&gt;$E$3</formula>
    </cfRule>
  </conditionalFormatting>
  <conditionalFormatting sqref="H11">
    <cfRule type="expression" dxfId="14903" priority="2018">
      <formula>$C11&lt;$E$3</formula>
    </cfRule>
  </conditionalFormatting>
  <conditionalFormatting sqref="H11">
    <cfRule type="expression" dxfId="14902" priority="2014">
      <formula>$C11=$E$3</formula>
    </cfRule>
    <cfRule type="expression" dxfId="14901" priority="2015">
      <formula>$C11&lt;$E$3</formula>
    </cfRule>
    <cfRule type="cellIs" dxfId="14900" priority="2016" operator="equal">
      <formula>0</formula>
    </cfRule>
    <cfRule type="expression" dxfId="14899" priority="2017">
      <formula>$C11&gt;$E$3</formula>
    </cfRule>
  </conditionalFormatting>
  <conditionalFormatting sqref="H11">
    <cfRule type="expression" dxfId="14898" priority="2013">
      <formula>$C11&lt;$E$3</formula>
    </cfRule>
  </conditionalFormatting>
  <conditionalFormatting sqref="H11">
    <cfRule type="expression" dxfId="14897" priority="2009">
      <formula>$C11=$E$3</formula>
    </cfRule>
    <cfRule type="expression" dxfId="14896" priority="2010">
      <formula>$C11&lt;$E$3</formula>
    </cfRule>
    <cfRule type="cellIs" dxfId="14895" priority="2011" operator="equal">
      <formula>0</formula>
    </cfRule>
    <cfRule type="expression" dxfId="14894" priority="2012">
      <formula>$C11&gt;$E$3</formula>
    </cfRule>
  </conditionalFormatting>
  <conditionalFormatting sqref="H11">
    <cfRule type="expression" dxfId="14893" priority="2008">
      <formula>$C11&lt;$E$3</formula>
    </cfRule>
  </conditionalFormatting>
  <conditionalFormatting sqref="H11">
    <cfRule type="expression" dxfId="14892" priority="2004">
      <formula>$C11=$E$3</formula>
    </cfRule>
    <cfRule type="expression" dxfId="14891" priority="2005">
      <formula>$C11&lt;$E$3</formula>
    </cfRule>
    <cfRule type="cellIs" dxfId="14890" priority="2006" operator="equal">
      <formula>0</formula>
    </cfRule>
    <cfRule type="expression" dxfId="14889" priority="2007">
      <formula>$C11&gt;$E$3</formula>
    </cfRule>
  </conditionalFormatting>
  <conditionalFormatting sqref="H11">
    <cfRule type="expression" dxfId="14888" priority="2003">
      <formula>$E11=""</formula>
    </cfRule>
  </conditionalFormatting>
  <conditionalFormatting sqref="H11">
    <cfRule type="expression" dxfId="14887" priority="2002">
      <formula>$C11&lt;$E$3</formula>
    </cfRule>
  </conditionalFormatting>
  <conditionalFormatting sqref="H11">
    <cfRule type="expression" dxfId="14886" priority="2001">
      <formula>$E11=""</formula>
    </cfRule>
  </conditionalFormatting>
  <conditionalFormatting sqref="H11">
    <cfRule type="expression" dxfId="14885" priority="2000">
      <formula>$E11=""</formula>
    </cfRule>
  </conditionalFormatting>
  <conditionalFormatting sqref="H11">
    <cfRule type="expression" dxfId="14884" priority="1999">
      <formula>$C11&lt;$E$3</formula>
    </cfRule>
  </conditionalFormatting>
  <conditionalFormatting sqref="H11">
    <cfRule type="expression" dxfId="14883" priority="1998">
      <formula>$E11=""</formula>
    </cfRule>
  </conditionalFormatting>
  <conditionalFormatting sqref="H11">
    <cfRule type="expression" dxfId="14882" priority="1997">
      <formula>$C11&lt;$E$3</formula>
    </cfRule>
  </conditionalFormatting>
  <conditionalFormatting sqref="H11">
    <cfRule type="expression" dxfId="14881" priority="1996">
      <formula>$E11=""</formula>
    </cfRule>
  </conditionalFormatting>
  <conditionalFormatting sqref="H11">
    <cfRule type="expression" dxfId="14880" priority="1995">
      <formula>$C11&lt;$E$3</formula>
    </cfRule>
  </conditionalFormatting>
  <conditionalFormatting sqref="H11">
    <cfRule type="expression" dxfId="14879" priority="1994">
      <formula>$E11=""</formula>
    </cfRule>
  </conditionalFormatting>
  <conditionalFormatting sqref="H14:H20">
    <cfRule type="expression" dxfId="14878" priority="1992">
      <formula>$C14&lt;$E$3</formula>
    </cfRule>
  </conditionalFormatting>
  <conditionalFormatting sqref="H14:H20">
    <cfRule type="expression" dxfId="14877" priority="1989">
      <formula>$C14=$E$3</formula>
    </cfRule>
    <cfRule type="expression" dxfId="14876" priority="1990">
      <formula>$C14&lt;$E$3</formula>
    </cfRule>
    <cfRule type="cellIs" dxfId="14875" priority="1991" operator="equal">
      <formula>0</formula>
    </cfRule>
    <cfRule type="expression" dxfId="14874" priority="1993">
      <formula>$C14&gt;$E$3</formula>
    </cfRule>
  </conditionalFormatting>
  <conditionalFormatting sqref="H14:H20">
    <cfRule type="expression" dxfId="14873" priority="1988">
      <formula>$C14&lt;$E$3</formula>
    </cfRule>
  </conditionalFormatting>
  <conditionalFormatting sqref="H14:H20">
    <cfRule type="expression" dxfId="14872" priority="1984">
      <formula>$C14=$E$3</formula>
    </cfRule>
    <cfRule type="expression" dxfId="14871" priority="1985">
      <formula>$C14&lt;$E$3</formula>
    </cfRule>
    <cfRule type="cellIs" dxfId="14870" priority="1986" operator="equal">
      <formula>0</formula>
    </cfRule>
    <cfRule type="expression" dxfId="14869" priority="1987">
      <formula>$C14&gt;$E$3</formula>
    </cfRule>
  </conditionalFormatting>
  <conditionalFormatting sqref="H14:H20">
    <cfRule type="expression" dxfId="14868" priority="1983">
      <formula>$C14&lt;$E$3</formula>
    </cfRule>
  </conditionalFormatting>
  <conditionalFormatting sqref="H14:H20">
    <cfRule type="expression" dxfId="14867" priority="1979">
      <formula>$C14=$E$3</formula>
    </cfRule>
    <cfRule type="expression" dxfId="14866" priority="1980">
      <formula>$C14&lt;$E$3</formula>
    </cfRule>
    <cfRule type="cellIs" dxfId="14865" priority="1981" operator="equal">
      <formula>0</formula>
    </cfRule>
    <cfRule type="expression" dxfId="14864" priority="1982">
      <formula>$C14&gt;$E$3</formula>
    </cfRule>
  </conditionalFormatting>
  <conditionalFormatting sqref="H14:H20">
    <cfRule type="expression" dxfId="14863" priority="1978">
      <formula>$C14&lt;$E$3</formula>
    </cfRule>
  </conditionalFormatting>
  <conditionalFormatting sqref="H14:H20">
    <cfRule type="expression" dxfId="14862" priority="1974">
      <formula>$C14=$E$3</formula>
    </cfRule>
    <cfRule type="expression" dxfId="14861" priority="1975">
      <formula>$C14&lt;$E$3</formula>
    </cfRule>
    <cfRule type="cellIs" dxfId="14860" priority="1976" operator="equal">
      <formula>0</formula>
    </cfRule>
    <cfRule type="expression" dxfId="14859" priority="1977">
      <formula>$C14&gt;$E$3</formula>
    </cfRule>
  </conditionalFormatting>
  <conditionalFormatting sqref="H14:H20">
    <cfRule type="expression" dxfId="14858" priority="1973">
      <formula>$E14=""</formula>
    </cfRule>
  </conditionalFormatting>
  <conditionalFormatting sqref="H14:H20">
    <cfRule type="expression" dxfId="14857" priority="1972">
      <formula>$C14&lt;$E$3</formula>
    </cfRule>
  </conditionalFormatting>
  <conditionalFormatting sqref="H14:H20">
    <cfRule type="expression" dxfId="14856" priority="1971">
      <formula>$E14=""</formula>
    </cfRule>
  </conditionalFormatting>
  <conditionalFormatting sqref="H14:H20">
    <cfRule type="expression" dxfId="14855" priority="1970">
      <formula>$E14=""</formula>
    </cfRule>
  </conditionalFormatting>
  <conditionalFormatting sqref="H14:H20">
    <cfRule type="expression" dxfId="14854" priority="1969">
      <formula>$C14&lt;$E$3</formula>
    </cfRule>
  </conditionalFormatting>
  <conditionalFormatting sqref="H14:H20">
    <cfRule type="expression" dxfId="14853" priority="1968">
      <formula>$E14=""</formula>
    </cfRule>
  </conditionalFormatting>
  <conditionalFormatting sqref="H14:H20">
    <cfRule type="expression" dxfId="14852" priority="1967">
      <formula>$C14&lt;$E$3</formula>
    </cfRule>
  </conditionalFormatting>
  <conditionalFormatting sqref="H14:H20">
    <cfRule type="expression" dxfId="14851" priority="1966">
      <formula>$E14=""</formula>
    </cfRule>
  </conditionalFormatting>
  <conditionalFormatting sqref="H14:H20">
    <cfRule type="expression" dxfId="14850" priority="1965">
      <formula>$C14&lt;$E$3</formula>
    </cfRule>
  </conditionalFormatting>
  <conditionalFormatting sqref="H14:H20">
    <cfRule type="expression" dxfId="14849" priority="1964">
      <formula>$E14=""</formula>
    </cfRule>
  </conditionalFormatting>
  <conditionalFormatting sqref="H23:H29">
    <cfRule type="expression" dxfId="14848" priority="1962">
      <formula>$C23&lt;$E$3</formula>
    </cfRule>
  </conditionalFormatting>
  <conditionalFormatting sqref="H23:H29">
    <cfRule type="expression" dxfId="14847" priority="1959">
      <formula>$C23=$E$3</formula>
    </cfRule>
    <cfRule type="expression" dxfId="14846" priority="1960">
      <formula>$C23&lt;$E$3</formula>
    </cfRule>
    <cfRule type="cellIs" dxfId="14845" priority="1961" operator="equal">
      <formula>0</formula>
    </cfRule>
    <cfRule type="expression" dxfId="14844" priority="1963">
      <formula>$C23&gt;$E$3</formula>
    </cfRule>
  </conditionalFormatting>
  <conditionalFormatting sqref="H23:H29">
    <cfRule type="expression" dxfId="14843" priority="1958">
      <formula>$C23&lt;$E$3</formula>
    </cfRule>
  </conditionalFormatting>
  <conditionalFormatting sqref="H23:H29">
    <cfRule type="expression" dxfId="14842" priority="1954">
      <formula>$C23=$E$3</formula>
    </cfRule>
    <cfRule type="expression" dxfId="14841" priority="1955">
      <formula>$C23&lt;$E$3</formula>
    </cfRule>
    <cfRule type="cellIs" dxfId="14840" priority="1956" operator="equal">
      <formula>0</formula>
    </cfRule>
    <cfRule type="expression" dxfId="14839" priority="1957">
      <formula>$C23&gt;$E$3</formula>
    </cfRule>
  </conditionalFormatting>
  <conditionalFormatting sqref="H23:H29">
    <cfRule type="expression" dxfId="14838" priority="1953">
      <formula>$C23&lt;$E$3</formula>
    </cfRule>
  </conditionalFormatting>
  <conditionalFormatting sqref="H23:H29">
    <cfRule type="expression" dxfId="14837" priority="1949">
      <formula>$C23=$E$3</formula>
    </cfRule>
    <cfRule type="expression" dxfId="14836" priority="1950">
      <formula>$C23&lt;$E$3</formula>
    </cfRule>
    <cfRule type="cellIs" dxfId="14835" priority="1951" operator="equal">
      <formula>0</formula>
    </cfRule>
    <cfRule type="expression" dxfId="14834" priority="1952">
      <formula>$C23&gt;$E$3</formula>
    </cfRule>
  </conditionalFormatting>
  <conditionalFormatting sqref="H23:H29">
    <cfRule type="expression" dxfId="14833" priority="1948">
      <formula>$C23&lt;$E$3</formula>
    </cfRule>
  </conditionalFormatting>
  <conditionalFormatting sqref="H23:H29">
    <cfRule type="expression" dxfId="14832" priority="1944">
      <formula>$C23=$E$3</formula>
    </cfRule>
    <cfRule type="expression" dxfId="14831" priority="1945">
      <formula>$C23&lt;$E$3</formula>
    </cfRule>
    <cfRule type="cellIs" dxfId="14830" priority="1946" operator="equal">
      <formula>0</formula>
    </cfRule>
    <cfRule type="expression" dxfId="14829" priority="1947">
      <formula>$C23&gt;$E$3</formula>
    </cfRule>
  </conditionalFormatting>
  <conditionalFormatting sqref="H23:H29">
    <cfRule type="expression" dxfId="14828" priority="1943">
      <formula>$E23=""</formula>
    </cfRule>
  </conditionalFormatting>
  <conditionalFormatting sqref="H23:H29">
    <cfRule type="expression" dxfId="14827" priority="1942">
      <formula>$C23&lt;$E$3</formula>
    </cfRule>
  </conditionalFormatting>
  <conditionalFormatting sqref="H23:H29">
    <cfRule type="expression" dxfId="14826" priority="1941">
      <formula>$E23=""</formula>
    </cfRule>
  </conditionalFormatting>
  <conditionalFormatting sqref="H23:H29">
    <cfRule type="expression" dxfId="14825" priority="1940">
      <formula>$E23=""</formula>
    </cfRule>
  </conditionalFormatting>
  <conditionalFormatting sqref="H23:H29">
    <cfRule type="expression" dxfId="14824" priority="1939">
      <formula>$C23&lt;$E$3</formula>
    </cfRule>
  </conditionalFormatting>
  <conditionalFormatting sqref="H23:H29">
    <cfRule type="expression" dxfId="14823" priority="1938">
      <formula>$E23=""</formula>
    </cfRule>
  </conditionalFormatting>
  <conditionalFormatting sqref="H23:H29">
    <cfRule type="expression" dxfId="14822" priority="1937">
      <formula>$C23&lt;$E$3</formula>
    </cfRule>
  </conditionalFormatting>
  <conditionalFormatting sqref="H23:H29">
    <cfRule type="expression" dxfId="14821" priority="1936">
      <formula>$E23=""</formula>
    </cfRule>
  </conditionalFormatting>
  <conditionalFormatting sqref="H23:H29">
    <cfRule type="expression" dxfId="14820" priority="1935">
      <formula>$C23&lt;$E$3</formula>
    </cfRule>
  </conditionalFormatting>
  <conditionalFormatting sqref="H23:H29">
    <cfRule type="expression" dxfId="14819" priority="1934">
      <formula>$E23=""</formula>
    </cfRule>
  </conditionalFormatting>
  <conditionalFormatting sqref="H32">
    <cfRule type="expression" dxfId="14818" priority="1932">
      <formula>$C32&lt;$E$3</formula>
    </cfRule>
  </conditionalFormatting>
  <conditionalFormatting sqref="H32">
    <cfRule type="expression" dxfId="14817" priority="1929">
      <formula>$C32=$E$3</formula>
    </cfRule>
    <cfRule type="expression" dxfId="14816" priority="1930">
      <formula>$C32&lt;$E$3</formula>
    </cfRule>
    <cfRule type="cellIs" dxfId="14815" priority="1931" operator="equal">
      <formula>0</formula>
    </cfRule>
    <cfRule type="expression" dxfId="14814" priority="1933">
      <formula>$C32&gt;$E$3</formula>
    </cfRule>
  </conditionalFormatting>
  <conditionalFormatting sqref="H32">
    <cfRule type="expression" dxfId="14813" priority="1928">
      <formula>$C32&lt;$E$3</formula>
    </cfRule>
  </conditionalFormatting>
  <conditionalFormatting sqref="H32">
    <cfRule type="expression" dxfId="14812" priority="1924">
      <formula>$C32=$E$3</formula>
    </cfRule>
    <cfRule type="expression" dxfId="14811" priority="1925">
      <formula>$C32&lt;$E$3</formula>
    </cfRule>
    <cfRule type="cellIs" dxfId="14810" priority="1926" operator="equal">
      <formula>0</formula>
    </cfRule>
    <cfRule type="expression" dxfId="14809" priority="1927">
      <formula>$C32&gt;$E$3</formula>
    </cfRule>
  </conditionalFormatting>
  <conditionalFormatting sqref="H32">
    <cfRule type="expression" dxfId="14808" priority="1923">
      <formula>$C32&lt;$E$3</formula>
    </cfRule>
  </conditionalFormatting>
  <conditionalFormatting sqref="H32">
    <cfRule type="expression" dxfId="14807" priority="1919">
      <formula>$C32=$E$3</formula>
    </cfRule>
    <cfRule type="expression" dxfId="14806" priority="1920">
      <formula>$C32&lt;$E$3</formula>
    </cfRule>
    <cfRule type="cellIs" dxfId="14805" priority="1921" operator="equal">
      <formula>0</formula>
    </cfRule>
    <cfRule type="expression" dxfId="14804" priority="1922">
      <formula>$C32&gt;$E$3</formula>
    </cfRule>
  </conditionalFormatting>
  <conditionalFormatting sqref="H32">
    <cfRule type="expression" dxfId="14803" priority="1918">
      <formula>$C32&lt;$E$3</formula>
    </cfRule>
  </conditionalFormatting>
  <conditionalFormatting sqref="H32">
    <cfRule type="expression" dxfId="14802" priority="1914">
      <formula>$C32=$E$3</formula>
    </cfRule>
    <cfRule type="expression" dxfId="14801" priority="1915">
      <formula>$C32&lt;$E$3</formula>
    </cfRule>
    <cfRule type="cellIs" dxfId="14800" priority="1916" operator="equal">
      <formula>0</formula>
    </cfRule>
    <cfRule type="expression" dxfId="14799" priority="1917">
      <formula>$C32&gt;$E$3</formula>
    </cfRule>
  </conditionalFormatting>
  <conditionalFormatting sqref="H32">
    <cfRule type="expression" dxfId="14798" priority="1913">
      <formula>$E32=""</formula>
    </cfRule>
  </conditionalFormatting>
  <conditionalFormatting sqref="H32">
    <cfRule type="expression" dxfId="14797" priority="1912">
      <formula>$C32&lt;$E$3</formula>
    </cfRule>
  </conditionalFormatting>
  <conditionalFormatting sqref="H32">
    <cfRule type="expression" dxfId="14796" priority="1911">
      <formula>$E32=""</formula>
    </cfRule>
  </conditionalFormatting>
  <conditionalFormatting sqref="H32">
    <cfRule type="expression" dxfId="14795" priority="1910">
      <formula>$E32=""</formula>
    </cfRule>
  </conditionalFormatting>
  <conditionalFormatting sqref="H32">
    <cfRule type="expression" dxfId="14794" priority="1909">
      <formula>$C32&lt;$E$3</formula>
    </cfRule>
  </conditionalFormatting>
  <conditionalFormatting sqref="H32">
    <cfRule type="expression" dxfId="14793" priority="1908">
      <formula>$E32=""</formula>
    </cfRule>
  </conditionalFormatting>
  <conditionalFormatting sqref="H32">
    <cfRule type="expression" dxfId="14792" priority="1907">
      <formula>$C32&lt;$E$3</formula>
    </cfRule>
  </conditionalFormatting>
  <conditionalFormatting sqref="H32">
    <cfRule type="expression" dxfId="14791" priority="1906">
      <formula>$E32=""</formula>
    </cfRule>
  </conditionalFormatting>
  <conditionalFormatting sqref="H32">
    <cfRule type="expression" dxfId="14790" priority="1905">
      <formula>$C32&lt;$E$3</formula>
    </cfRule>
  </conditionalFormatting>
  <conditionalFormatting sqref="H32">
    <cfRule type="expression" dxfId="14789" priority="1904">
      <formula>$E32=""</formula>
    </cfRule>
  </conditionalFormatting>
  <conditionalFormatting sqref="V50:W51 V5:W20 V23:W29 V32:W38 V41:W47">
    <cfRule type="cellIs" dxfId="14788" priority="1903" stopIfTrue="1" operator="lessThan">
      <formula>0</formula>
    </cfRule>
  </conditionalFormatting>
  <conditionalFormatting sqref="F52:H52">
    <cfRule type="expression" dxfId="14787" priority="2401" stopIfTrue="1">
      <formula>$H$52=-1E-55</formula>
    </cfRule>
    <cfRule type="expression" dxfId="14786" priority="2402">
      <formula>$F52&gt;=$F53</formula>
    </cfRule>
  </conditionalFormatting>
  <conditionalFormatting sqref="H33:H37">
    <cfRule type="cellIs" dxfId="14785" priority="1817" stopIfTrue="1" operator="lessThan">
      <formula>0</formula>
    </cfRule>
  </conditionalFormatting>
  <conditionalFormatting sqref="H33:H37">
    <cfRule type="expression" dxfId="14784" priority="1818">
      <formula>$C33=$E$3</formula>
    </cfRule>
    <cfRule type="expression" dxfId="14783" priority="1819">
      <formula>$C33&lt;$E$3</formula>
    </cfRule>
    <cfRule type="cellIs" dxfId="14782" priority="1820" operator="equal">
      <formula>0</formula>
    </cfRule>
    <cfRule type="expression" dxfId="14781" priority="1822">
      <formula>$C33&gt;$E$3</formula>
    </cfRule>
  </conditionalFormatting>
  <conditionalFormatting sqref="H33:H37">
    <cfRule type="expression" dxfId="14780" priority="1811">
      <formula>$E33=""</formula>
    </cfRule>
  </conditionalFormatting>
  <conditionalFormatting sqref="H36">
    <cfRule type="expression" dxfId="14779" priority="1810">
      <formula>$E36=""</formula>
    </cfRule>
  </conditionalFormatting>
  <conditionalFormatting sqref="H33:H37">
    <cfRule type="expression" dxfId="14778" priority="1809">
      <formula>$C33&lt;$E$3</formula>
    </cfRule>
  </conditionalFormatting>
  <conditionalFormatting sqref="H33:H37">
    <cfRule type="expression" dxfId="14777" priority="1805">
      <formula>$C33=$E$3</formula>
    </cfRule>
    <cfRule type="expression" dxfId="14776" priority="1806">
      <formula>$C33&lt;$E$3</formula>
    </cfRule>
    <cfRule type="cellIs" dxfId="14775" priority="1807" operator="equal">
      <formula>0</formula>
    </cfRule>
    <cfRule type="expression" dxfId="14774" priority="1808">
      <formula>$C33&gt;$E$3</formula>
    </cfRule>
  </conditionalFormatting>
  <conditionalFormatting sqref="H33:H37">
    <cfRule type="expression" dxfId="14773" priority="1804">
      <formula>$C33&lt;$E$3</formula>
    </cfRule>
  </conditionalFormatting>
  <conditionalFormatting sqref="H33:H37">
    <cfRule type="expression" dxfId="14772" priority="1800">
      <formula>$C33=$E$3</formula>
    </cfRule>
    <cfRule type="expression" dxfId="14771" priority="1801">
      <formula>$C33&lt;$E$3</formula>
    </cfRule>
    <cfRule type="cellIs" dxfId="14770" priority="1802" operator="equal">
      <formula>0</formula>
    </cfRule>
    <cfRule type="expression" dxfId="14769" priority="1803">
      <formula>$C33&gt;$E$3</formula>
    </cfRule>
  </conditionalFormatting>
  <conditionalFormatting sqref="H33:H37">
    <cfRule type="expression" dxfId="14768" priority="1799">
      <formula>$E33=""</formula>
    </cfRule>
  </conditionalFormatting>
  <conditionalFormatting sqref="H33:H37">
    <cfRule type="expression" dxfId="14767" priority="1798">
      <formula>$C33&lt;$E$3</formula>
    </cfRule>
  </conditionalFormatting>
  <conditionalFormatting sqref="H33:H37">
    <cfRule type="expression" dxfId="14766" priority="1797">
      <formula>$E33=""</formula>
    </cfRule>
  </conditionalFormatting>
  <conditionalFormatting sqref="H33:H37">
    <cfRule type="expression" dxfId="14765" priority="1796">
      <formula>$E33=""</formula>
    </cfRule>
  </conditionalFormatting>
  <conditionalFormatting sqref="H33:H37">
    <cfRule type="expression" dxfId="14764" priority="1792">
      <formula>$E33=""</formula>
    </cfRule>
  </conditionalFormatting>
  <conditionalFormatting sqref="H33:H37">
    <cfRule type="expression" dxfId="14763" priority="1791">
      <formula>$C33&lt;$E$3</formula>
    </cfRule>
  </conditionalFormatting>
  <conditionalFormatting sqref="H33:H37">
    <cfRule type="expression" dxfId="14762" priority="1790">
      <formula>$E33=""</formula>
    </cfRule>
  </conditionalFormatting>
  <conditionalFormatting sqref="K50:K51">
    <cfRule type="expression" dxfId="14761" priority="634">
      <formula>$C50&lt;$E$3</formula>
    </cfRule>
  </conditionalFormatting>
  <conditionalFormatting sqref="K50:K51">
    <cfRule type="expression" dxfId="14760" priority="631">
      <formula>$C50=$E$3</formula>
    </cfRule>
    <cfRule type="expression" dxfId="14759" priority="632">
      <formula>$C50&lt;$E$3</formula>
    </cfRule>
    <cfRule type="cellIs" dxfId="14758" priority="633" operator="equal">
      <formula>0</formula>
    </cfRule>
    <cfRule type="expression" dxfId="14757" priority="635">
      <formula>$C50&gt;$E$3</formula>
    </cfRule>
  </conditionalFormatting>
  <conditionalFormatting sqref="K50:K51">
    <cfRule type="expression" dxfId="14756" priority="630">
      <formula>$E50=""</formula>
    </cfRule>
  </conditionalFormatting>
  <conditionalFormatting sqref="K50:K51">
    <cfRule type="expression" dxfId="14755" priority="629">
      <formula>$E50=""</formula>
    </cfRule>
  </conditionalFormatting>
  <conditionalFormatting sqref="K50:K51">
    <cfRule type="expression" dxfId="14754" priority="628">
      <formula>$E50=""</formula>
    </cfRule>
  </conditionalFormatting>
  <conditionalFormatting sqref="N5:N6 N9">
    <cfRule type="cellIs" dxfId="14753" priority="627" stopIfTrue="1" operator="lessThan">
      <formula>0</formula>
    </cfRule>
  </conditionalFormatting>
  <conditionalFormatting sqref="M14:M20 M32:M38 M41:M47 M23:M29">
    <cfRule type="expression" dxfId="14752" priority="589">
      <formula>$C14&lt;$E$3</formula>
    </cfRule>
  </conditionalFormatting>
  <conditionalFormatting sqref="M14:M20 M32:M38 M41:M47 M23:M29">
    <cfRule type="expression" dxfId="14751" priority="587">
      <formula>$C14&lt;$E$3</formula>
    </cfRule>
  </conditionalFormatting>
  <conditionalFormatting sqref="M14:M20 M32:M38 M41:M47 M23:M29">
    <cfRule type="expression" dxfId="14750" priority="559">
      <formula>$C14&lt;$E$3</formula>
    </cfRule>
  </conditionalFormatting>
  <conditionalFormatting sqref="K19">
    <cfRule type="expression" dxfId="14749" priority="519">
      <formula>$C19&lt;$E$3</formula>
    </cfRule>
  </conditionalFormatting>
  <conditionalFormatting sqref="K19">
    <cfRule type="expression" dxfId="14748" priority="517">
      <formula>$C19&lt;$E$3</formula>
    </cfRule>
  </conditionalFormatting>
  <conditionalFormatting sqref="K19">
    <cfRule type="expression" dxfId="14747" priority="489">
      <formula>$C19&lt;$E$3</formula>
    </cfRule>
  </conditionalFormatting>
  <conditionalFormatting sqref="K14:K18">
    <cfRule type="expression" dxfId="14746" priority="487">
      <formula>$C14&lt;$E$3</formula>
    </cfRule>
  </conditionalFormatting>
  <conditionalFormatting sqref="K14:K18">
    <cfRule type="expression" dxfId="14745" priority="459">
      <formula>$C14&lt;$E$3</formula>
    </cfRule>
  </conditionalFormatting>
  <conditionalFormatting sqref="K14:K18">
    <cfRule type="expression" dxfId="14744" priority="457">
      <formula>$C14&lt;$E$3</formula>
    </cfRule>
  </conditionalFormatting>
  <conditionalFormatting sqref="K14:K18">
    <cfRule type="expression" dxfId="14743" priority="429">
      <formula>$C14&lt;$E$3</formula>
    </cfRule>
  </conditionalFormatting>
  <conditionalFormatting sqref="K28">
    <cfRule type="expression" dxfId="14742" priority="382">
      <formula>$C28&lt;$E$3</formula>
    </cfRule>
  </conditionalFormatting>
  <conditionalFormatting sqref="K28">
    <cfRule type="expression" dxfId="14741" priority="380">
      <formula>$C28&lt;$E$3</formula>
    </cfRule>
  </conditionalFormatting>
  <conditionalFormatting sqref="K28">
    <cfRule type="expression" dxfId="14740" priority="352">
      <formula>$C28&lt;$E$3</formula>
    </cfRule>
  </conditionalFormatting>
  <conditionalFormatting sqref="K23:K27">
    <cfRule type="expression" dxfId="14739" priority="350">
      <formula>$C23&lt;$E$3</formula>
    </cfRule>
  </conditionalFormatting>
  <conditionalFormatting sqref="K23:K27">
    <cfRule type="expression" dxfId="14738" priority="322">
      <formula>$C23&lt;$E$3</formula>
    </cfRule>
  </conditionalFormatting>
  <conditionalFormatting sqref="K23:K27">
    <cfRule type="expression" dxfId="14737" priority="320">
      <formula>$C23&lt;$E$3</formula>
    </cfRule>
  </conditionalFormatting>
  <conditionalFormatting sqref="K23:K27">
    <cfRule type="expression" dxfId="14736" priority="292">
      <formula>$C23&lt;$E$3</formula>
    </cfRule>
  </conditionalFormatting>
  <conditionalFormatting sqref="K37">
    <cfRule type="expression" dxfId="14735" priority="245">
      <formula>$C37&lt;$E$3</formula>
    </cfRule>
  </conditionalFormatting>
  <conditionalFormatting sqref="K37">
    <cfRule type="expression" dxfId="14734" priority="243">
      <formula>$C37&lt;$E$3</formula>
    </cfRule>
  </conditionalFormatting>
  <conditionalFormatting sqref="K37">
    <cfRule type="expression" dxfId="14733" priority="215">
      <formula>$C37&lt;$E$3</formula>
    </cfRule>
  </conditionalFormatting>
  <conditionalFormatting sqref="K32:K36">
    <cfRule type="expression" dxfId="14732" priority="213">
      <formula>$C32&lt;$E$3</formula>
    </cfRule>
  </conditionalFormatting>
  <conditionalFormatting sqref="K32:K36">
    <cfRule type="expression" dxfId="14731" priority="185">
      <formula>$C32&lt;$E$3</formula>
    </cfRule>
  </conditionalFormatting>
  <conditionalFormatting sqref="K32:K36">
    <cfRule type="expression" dxfId="14730" priority="183">
      <formula>$C32&lt;$E$3</formula>
    </cfRule>
  </conditionalFormatting>
  <conditionalFormatting sqref="K32:K36">
    <cfRule type="expression" dxfId="14729" priority="155">
      <formula>$C32&lt;$E$3</formula>
    </cfRule>
  </conditionalFormatting>
  <conditionalFormatting sqref="K46">
    <cfRule type="expression" dxfId="14728" priority="108">
      <formula>$C46&lt;$E$3</formula>
    </cfRule>
  </conditionalFormatting>
  <conditionalFormatting sqref="K46">
    <cfRule type="expression" dxfId="14727" priority="106">
      <formula>$C46&lt;$E$3</formula>
    </cfRule>
  </conditionalFormatting>
  <conditionalFormatting sqref="K46">
    <cfRule type="expression" dxfId="14726" priority="78">
      <formula>$C46&lt;$E$3</formula>
    </cfRule>
  </conditionalFormatting>
  <conditionalFormatting sqref="K41:K45">
    <cfRule type="expression" dxfId="14725" priority="76">
      <formula>$C41&lt;$E$3</formula>
    </cfRule>
  </conditionalFormatting>
  <conditionalFormatting sqref="K41:K45">
    <cfRule type="expression" dxfId="14724" priority="48">
      <formula>$C41&lt;$E$3</formula>
    </cfRule>
  </conditionalFormatting>
  <conditionalFormatting sqref="K41:K45">
    <cfRule type="expression" dxfId="14723" priority="46">
      <formula>$C41&lt;$E$3</formula>
    </cfRule>
  </conditionalFormatting>
  <conditionalFormatting sqref="K41:K45">
    <cfRule type="expression" dxfId="14722" priority="18">
      <formula>$C41&lt;$E$3</formula>
    </cfRule>
  </conditionalFormatting>
  <conditionalFormatting sqref="N29">
    <cfRule type="cellIs" dxfId="14721" priority="4" stopIfTrue="1" operator="lessThan">
      <formula>0</formula>
    </cfRule>
  </conditionalFormatting>
  <conditionalFormatting sqref="N25">
    <cfRule type="cellIs" dxfId="14720" priority="3" stopIfTrue="1" operator="lessThan">
      <formula>0</formula>
    </cfRule>
  </conditionalFormatting>
  <conditionalFormatting sqref="N26">
    <cfRule type="cellIs" dxfId="14719" priority="2" stopIfTrue="1" operator="lessThan">
      <formula>0</formula>
    </cfRule>
  </conditionalFormatting>
  <conditionalFormatting sqref="N24">
    <cfRule type="cellIs" dxfId="14718" priority="1" stopIfTrue="1" operator="lessThan">
      <formula>0</formula>
    </cfRule>
  </conditionalFormatting>
  <conditionalFormatting sqref="K5:K11 K50:K51">
    <cfRule type="cellIs" dxfId="14717" priority="922" stopIfTrue="1" operator="lessThan">
      <formula>0</formula>
    </cfRule>
  </conditionalFormatting>
  <conditionalFormatting sqref="K5:K11 K50:K51">
    <cfRule type="expression" dxfId="14716" priority="920">
      <formula>$C5&lt;$E$3</formula>
    </cfRule>
  </conditionalFormatting>
  <conditionalFormatting sqref="K5:K11 K50:K51">
    <cfRule type="expression" dxfId="14715" priority="917">
      <formula>$C5=$E$3</formula>
    </cfRule>
    <cfRule type="expression" dxfId="14714" priority="918">
      <formula>$C5&lt;$E$3</formula>
    </cfRule>
    <cfRule type="cellIs" dxfId="14713" priority="919" operator="equal">
      <formula>0</formula>
    </cfRule>
    <cfRule type="expression" dxfId="14712" priority="921">
      <formula>$C5&gt;$E$3</formula>
    </cfRule>
  </conditionalFormatting>
  <conditionalFormatting sqref="K5:K11 K50:K51">
    <cfRule type="expression" dxfId="14711" priority="916">
      <formula>$E5=""</formula>
    </cfRule>
  </conditionalFormatting>
  <conditionalFormatting sqref="K5:K11 K50:K51">
    <cfRule type="expression" dxfId="14710" priority="915">
      <formula>$E5=""</formula>
    </cfRule>
  </conditionalFormatting>
  <conditionalFormatting sqref="K5:K11 K50:K51">
    <cfRule type="expression" dxfId="14709" priority="914">
      <formula>$E5=""</formula>
    </cfRule>
  </conditionalFormatting>
  <conditionalFormatting sqref="J5:J11 J50:J51 L5:M11 L50:N51">
    <cfRule type="cellIs" dxfId="14708" priority="913" stopIfTrue="1" operator="lessThan">
      <formula>0</formula>
    </cfRule>
  </conditionalFormatting>
  <conditionalFormatting sqref="J5:J11 J50:J51 L5:M11 L50:M51">
    <cfRule type="expression" dxfId="14707" priority="911">
      <formula>$C5&lt;$E$3</formula>
    </cfRule>
  </conditionalFormatting>
  <conditionalFormatting sqref="J5:J11 J50:J51 L5:M11 L50:M51">
    <cfRule type="expression" dxfId="14706" priority="908">
      <formula>$C5=$E$3</formula>
    </cfRule>
    <cfRule type="expression" dxfId="14705" priority="909">
      <formula>$C5&lt;$E$3</formula>
    </cfRule>
    <cfRule type="cellIs" dxfId="14704" priority="910" operator="equal">
      <formula>0</formula>
    </cfRule>
    <cfRule type="expression" dxfId="14703" priority="912">
      <formula>$C5&gt;$E$3</formula>
    </cfRule>
  </conditionalFormatting>
  <conditionalFormatting sqref="J5:J11 J50:J51 L5:M11 L50:M51">
    <cfRule type="expression" dxfId="14702" priority="907">
      <formula>$E5=""</formula>
    </cfRule>
  </conditionalFormatting>
  <conditionalFormatting sqref="J5:J11 J50:J51 L5:M11 L50:M51">
    <cfRule type="expression" dxfId="14701" priority="906">
      <formula>$E5=""</formula>
    </cfRule>
  </conditionalFormatting>
  <conditionalFormatting sqref="J5:J11 J50:J51 L5:M11 L50:M51">
    <cfRule type="expression" dxfId="14700" priority="905">
      <formula>$E5=""</formula>
    </cfRule>
  </conditionalFormatting>
  <conditionalFormatting sqref="M5:M11 M50:M51">
    <cfRule type="expression" dxfId="14699" priority="904">
      <formula>$C5&lt;$E$3</formula>
    </cfRule>
  </conditionalFormatting>
  <conditionalFormatting sqref="M5:M11 M50:M51">
    <cfRule type="expression" dxfId="14698" priority="900">
      <formula>$C5=$E$3</formula>
    </cfRule>
    <cfRule type="expression" dxfId="14697" priority="901">
      <formula>$C5&lt;$E$3</formula>
    </cfRule>
    <cfRule type="cellIs" dxfId="14696" priority="902" operator="equal">
      <formula>0</formula>
    </cfRule>
    <cfRule type="expression" dxfId="14695" priority="903">
      <formula>$C5&gt;$E$3</formula>
    </cfRule>
  </conditionalFormatting>
  <conditionalFormatting sqref="M5:M11 M50:M51">
    <cfRule type="expression" dxfId="14694" priority="899">
      <formula>$C5&lt;$E$3</formula>
    </cfRule>
  </conditionalFormatting>
  <conditionalFormatting sqref="M5:M11 M50:M51">
    <cfRule type="expression" dxfId="14693" priority="895">
      <formula>$C5=$E$3</formula>
    </cfRule>
    <cfRule type="expression" dxfId="14692" priority="896">
      <formula>$C5&lt;$E$3</formula>
    </cfRule>
    <cfRule type="cellIs" dxfId="14691" priority="897" operator="equal">
      <formula>0</formula>
    </cfRule>
    <cfRule type="expression" dxfId="14690" priority="898">
      <formula>$C5&gt;$E$3</formula>
    </cfRule>
  </conditionalFormatting>
  <conditionalFormatting sqref="M5:M11 M50:M51">
    <cfRule type="expression" dxfId="14689" priority="894">
      <formula>$C5&lt;$E$3</formula>
    </cfRule>
  </conditionalFormatting>
  <conditionalFormatting sqref="M5:M11 M50:M51">
    <cfRule type="expression" dxfId="14688" priority="890">
      <formula>$C5=$E$3</formula>
    </cfRule>
    <cfRule type="expression" dxfId="14687" priority="891">
      <formula>$C5&lt;$E$3</formula>
    </cfRule>
    <cfRule type="cellIs" dxfId="14686" priority="892" operator="equal">
      <formula>0</formula>
    </cfRule>
    <cfRule type="expression" dxfId="14685" priority="893">
      <formula>$C5&gt;$E$3</formula>
    </cfRule>
  </conditionalFormatting>
  <conditionalFormatting sqref="M5:M11 M50:M51">
    <cfRule type="expression" dxfId="14684" priority="889">
      <formula>$C5&lt;$E$3</formula>
    </cfRule>
  </conditionalFormatting>
  <conditionalFormatting sqref="M5:M11 M50:M51">
    <cfRule type="expression" dxfId="14683" priority="885">
      <formula>$C5=$E$3</formula>
    </cfRule>
    <cfRule type="expression" dxfId="14682" priority="886">
      <formula>$C5&lt;$E$3</formula>
    </cfRule>
    <cfRule type="cellIs" dxfId="14681" priority="887" operator="equal">
      <formula>0</formula>
    </cfRule>
    <cfRule type="expression" dxfId="14680" priority="888">
      <formula>$C5&gt;$E$3</formula>
    </cfRule>
  </conditionalFormatting>
  <conditionalFormatting sqref="M5:M11 M50:M51">
    <cfRule type="expression" dxfId="14679" priority="884">
      <formula>$E5=""</formula>
    </cfRule>
  </conditionalFormatting>
  <conditionalFormatting sqref="M5:M11 M50:M51">
    <cfRule type="expression" dxfId="14678" priority="883">
      <formula>$C5&lt;$E$3</formula>
    </cfRule>
  </conditionalFormatting>
  <conditionalFormatting sqref="M5:M11 M50:M51">
    <cfRule type="expression" dxfId="14677" priority="882">
      <formula>$E5=""</formula>
    </cfRule>
  </conditionalFormatting>
  <conditionalFormatting sqref="M5:M11 M50:M51">
    <cfRule type="expression" dxfId="14676" priority="881">
      <formula>$E5=""</formula>
    </cfRule>
  </conditionalFormatting>
  <conditionalFormatting sqref="M5:M11 M50:M51">
    <cfRule type="expression" dxfId="14675" priority="880">
      <formula>$C5&lt;$E$3</formula>
    </cfRule>
  </conditionalFormatting>
  <conditionalFormatting sqref="M5:M11 M50:M51">
    <cfRule type="expression" dxfId="14674" priority="879">
      <formula>$E5=""</formula>
    </cfRule>
  </conditionalFormatting>
  <conditionalFormatting sqref="M5:M11 M50:M51">
    <cfRule type="expression" dxfId="14673" priority="878">
      <formula>$C5&lt;$E$3</formula>
    </cfRule>
  </conditionalFormatting>
  <conditionalFormatting sqref="M5:M11 M50:M51">
    <cfRule type="expression" dxfId="14672" priority="877">
      <formula>$E5=""</formula>
    </cfRule>
  </conditionalFormatting>
  <conditionalFormatting sqref="M5:M11 M50:M51">
    <cfRule type="expression" dxfId="14671" priority="876">
      <formula>$C5&lt;$E$3</formula>
    </cfRule>
  </conditionalFormatting>
  <conditionalFormatting sqref="M5:M11 M50:M51">
    <cfRule type="expression" dxfId="14670" priority="875">
      <formula>$E5=""</formula>
    </cfRule>
  </conditionalFormatting>
  <conditionalFormatting sqref="M5:M11 M50:M51">
    <cfRule type="expression" dxfId="14669" priority="874">
      <formula>$C5&lt;$E$3</formula>
    </cfRule>
  </conditionalFormatting>
  <conditionalFormatting sqref="M5:M11 M50:M51">
    <cfRule type="expression" dxfId="14668" priority="870">
      <formula>$C5=$E$3</formula>
    </cfRule>
    <cfRule type="expression" dxfId="14667" priority="871">
      <formula>$C5&lt;$E$3</formula>
    </cfRule>
    <cfRule type="cellIs" dxfId="14666" priority="872" operator="equal">
      <formula>0</formula>
    </cfRule>
    <cfRule type="expression" dxfId="14665" priority="873">
      <formula>$C5&gt;$E$3</formula>
    </cfRule>
  </conditionalFormatting>
  <conditionalFormatting sqref="M5:M11 M50:M51">
    <cfRule type="expression" dxfId="14664" priority="869">
      <formula>$C5&lt;$E$3</formula>
    </cfRule>
  </conditionalFormatting>
  <conditionalFormatting sqref="M5:M11 M50:M51">
    <cfRule type="expression" dxfId="14663" priority="865">
      <formula>$C5=$E$3</formula>
    </cfRule>
    <cfRule type="expression" dxfId="14662" priority="866">
      <formula>$C5&lt;$E$3</formula>
    </cfRule>
    <cfRule type="cellIs" dxfId="14661" priority="867" operator="equal">
      <formula>0</formula>
    </cfRule>
    <cfRule type="expression" dxfId="14660" priority="868">
      <formula>$C5&gt;$E$3</formula>
    </cfRule>
  </conditionalFormatting>
  <conditionalFormatting sqref="M5:M11 M50:M51">
    <cfRule type="expression" dxfId="14659" priority="864">
      <formula>$C5&lt;$E$3</formula>
    </cfRule>
  </conditionalFormatting>
  <conditionalFormatting sqref="M5:M11 M50:M51">
    <cfRule type="expression" dxfId="14658" priority="860">
      <formula>$C5=$E$3</formula>
    </cfRule>
    <cfRule type="expression" dxfId="14657" priority="861">
      <formula>$C5&lt;$E$3</formula>
    </cfRule>
    <cfRule type="cellIs" dxfId="14656" priority="862" operator="equal">
      <formula>0</formula>
    </cfRule>
    <cfRule type="expression" dxfId="14655" priority="863">
      <formula>$C5&gt;$E$3</formula>
    </cfRule>
  </conditionalFormatting>
  <conditionalFormatting sqref="M5:M11 M50:M51">
    <cfRule type="expression" dxfId="14654" priority="859">
      <formula>$C5&lt;$E$3</formula>
    </cfRule>
  </conditionalFormatting>
  <conditionalFormatting sqref="M5:M11 M50:M51">
    <cfRule type="expression" dxfId="14653" priority="855">
      <formula>$C5=$E$3</formula>
    </cfRule>
    <cfRule type="expression" dxfId="14652" priority="856">
      <formula>$C5&lt;$E$3</formula>
    </cfRule>
    <cfRule type="cellIs" dxfId="14651" priority="857" operator="equal">
      <formula>0</formula>
    </cfRule>
    <cfRule type="expression" dxfId="14650" priority="858">
      <formula>$C5&gt;$E$3</formula>
    </cfRule>
  </conditionalFormatting>
  <conditionalFormatting sqref="M5:M11 M50:M51">
    <cfRule type="expression" dxfId="14649" priority="854">
      <formula>$E5=""</formula>
    </cfRule>
  </conditionalFormatting>
  <conditionalFormatting sqref="M5:M11 M50:M51">
    <cfRule type="expression" dxfId="14648" priority="853">
      <formula>$C5&lt;$E$3</formula>
    </cfRule>
  </conditionalFormatting>
  <conditionalFormatting sqref="M5:M11 M50:M51">
    <cfRule type="expression" dxfId="14647" priority="852">
      <formula>$E5=""</formula>
    </cfRule>
  </conditionalFormatting>
  <conditionalFormatting sqref="M5:M11 M50:M51">
    <cfRule type="expression" dxfId="14646" priority="851">
      <formula>$E5=""</formula>
    </cfRule>
  </conditionalFormatting>
  <conditionalFormatting sqref="M5:M11 M50:M51">
    <cfRule type="expression" dxfId="14645" priority="850">
      <formula>$C5&lt;$E$3</formula>
    </cfRule>
  </conditionalFormatting>
  <conditionalFormatting sqref="M5:M11 M50:M51">
    <cfRule type="expression" dxfId="14644" priority="849">
      <formula>$E5=""</formula>
    </cfRule>
  </conditionalFormatting>
  <conditionalFormatting sqref="M5:M11 M50:M51">
    <cfRule type="expression" dxfId="14643" priority="848">
      <formula>$C5&lt;$E$3</formula>
    </cfRule>
  </conditionalFormatting>
  <conditionalFormatting sqref="M5:M11 M50:M51">
    <cfRule type="expression" dxfId="14642" priority="847">
      <formula>$E5=""</formula>
    </cfRule>
  </conditionalFormatting>
  <conditionalFormatting sqref="M5:M11 M50:M51">
    <cfRule type="expression" dxfId="14641" priority="846">
      <formula>$C5&lt;$E$3</formula>
    </cfRule>
  </conditionalFormatting>
  <conditionalFormatting sqref="M5:M11 M50:M51">
    <cfRule type="expression" dxfId="14640" priority="845">
      <formula>$E5=""</formula>
    </cfRule>
  </conditionalFormatting>
  <conditionalFormatting sqref="K10">
    <cfRule type="expression" dxfId="14639" priority="844">
      <formula>$C10&lt;$E$3</formula>
    </cfRule>
  </conditionalFormatting>
  <conditionalFormatting sqref="K10">
    <cfRule type="expression" dxfId="14638" priority="840">
      <formula>$C10=$E$3</formula>
    </cfRule>
    <cfRule type="expression" dxfId="14637" priority="841">
      <formula>$C10&lt;$E$3</formula>
    </cfRule>
    <cfRule type="cellIs" dxfId="14636" priority="842" operator="equal">
      <formula>0</formula>
    </cfRule>
    <cfRule type="expression" dxfId="14635" priority="843">
      <formula>$C10&gt;$E$3</formula>
    </cfRule>
  </conditionalFormatting>
  <conditionalFormatting sqref="K10">
    <cfRule type="expression" dxfId="14634" priority="839">
      <formula>$C10&lt;$E$3</formula>
    </cfRule>
  </conditionalFormatting>
  <conditionalFormatting sqref="K10">
    <cfRule type="expression" dxfId="14633" priority="835">
      <formula>$C10=$E$3</formula>
    </cfRule>
    <cfRule type="expression" dxfId="14632" priority="836">
      <formula>$C10&lt;$E$3</formula>
    </cfRule>
    <cfRule type="cellIs" dxfId="14631" priority="837" operator="equal">
      <formula>0</formula>
    </cfRule>
    <cfRule type="expression" dxfId="14630" priority="838">
      <formula>$C10&gt;$E$3</formula>
    </cfRule>
  </conditionalFormatting>
  <conditionalFormatting sqref="K10">
    <cfRule type="expression" dxfId="14629" priority="834">
      <formula>$C10&lt;$E$3</formula>
    </cfRule>
  </conditionalFormatting>
  <conditionalFormatting sqref="K10">
    <cfRule type="expression" dxfId="14628" priority="830">
      <formula>$C10=$E$3</formula>
    </cfRule>
    <cfRule type="expression" dxfId="14627" priority="831">
      <formula>$C10&lt;$E$3</formula>
    </cfRule>
    <cfRule type="cellIs" dxfId="14626" priority="832" operator="equal">
      <formula>0</formula>
    </cfRule>
    <cfRule type="expression" dxfId="14625" priority="833">
      <formula>$C10&gt;$E$3</formula>
    </cfRule>
  </conditionalFormatting>
  <conditionalFormatting sqref="K10">
    <cfRule type="expression" dxfId="14624" priority="829">
      <formula>$C10&lt;$E$3</formula>
    </cfRule>
  </conditionalFormatting>
  <conditionalFormatting sqref="K10">
    <cfRule type="expression" dxfId="14623" priority="825">
      <formula>$C10=$E$3</formula>
    </cfRule>
    <cfRule type="expression" dxfId="14622" priority="826">
      <formula>$C10&lt;$E$3</formula>
    </cfRule>
    <cfRule type="cellIs" dxfId="14621" priority="827" operator="equal">
      <formula>0</formula>
    </cfRule>
    <cfRule type="expression" dxfId="14620" priority="828">
      <formula>$C10&gt;$E$3</formula>
    </cfRule>
  </conditionalFormatting>
  <conditionalFormatting sqref="K10">
    <cfRule type="expression" dxfId="14619" priority="824">
      <formula>$E10=""</formula>
    </cfRule>
  </conditionalFormatting>
  <conditionalFormatting sqref="K10">
    <cfRule type="expression" dxfId="14618" priority="823">
      <formula>$C10&lt;$E$3</formula>
    </cfRule>
  </conditionalFormatting>
  <conditionalFormatting sqref="K10">
    <cfRule type="expression" dxfId="14617" priority="822">
      <formula>$E10=""</formula>
    </cfRule>
  </conditionalFormatting>
  <conditionalFormatting sqref="K10">
    <cfRule type="expression" dxfId="14616" priority="821">
      <formula>$E10=""</formula>
    </cfRule>
  </conditionalFormatting>
  <conditionalFormatting sqref="K10">
    <cfRule type="expression" dxfId="14615" priority="820">
      <formula>$C10&lt;$E$3</formula>
    </cfRule>
  </conditionalFormatting>
  <conditionalFormatting sqref="K10">
    <cfRule type="expression" dxfId="14614" priority="819">
      <formula>$E10=""</formula>
    </cfRule>
  </conditionalFormatting>
  <conditionalFormatting sqref="K10">
    <cfRule type="expression" dxfId="14613" priority="818">
      <formula>$C10&lt;$E$3</formula>
    </cfRule>
  </conditionalFormatting>
  <conditionalFormatting sqref="K10">
    <cfRule type="expression" dxfId="14612" priority="817">
      <formula>$E10=""</formula>
    </cfRule>
  </conditionalFormatting>
  <conditionalFormatting sqref="K10">
    <cfRule type="expression" dxfId="14611" priority="816">
      <formula>$C10&lt;$E$3</formula>
    </cfRule>
  </conditionalFormatting>
  <conditionalFormatting sqref="K10">
    <cfRule type="expression" dxfId="14610" priority="815">
      <formula>$E10=""</formula>
    </cfRule>
  </conditionalFormatting>
  <conditionalFormatting sqref="K10">
    <cfRule type="expression" dxfId="14609" priority="814">
      <formula>$C10&lt;$E$3</formula>
    </cfRule>
  </conditionalFormatting>
  <conditionalFormatting sqref="K10">
    <cfRule type="expression" dxfId="14608" priority="810">
      <formula>$C10=$E$3</formula>
    </cfRule>
    <cfRule type="expression" dxfId="14607" priority="811">
      <formula>$C10&lt;$E$3</formula>
    </cfRule>
    <cfRule type="cellIs" dxfId="14606" priority="812" operator="equal">
      <formula>0</formula>
    </cfRule>
    <cfRule type="expression" dxfId="14605" priority="813">
      <formula>$C10&gt;$E$3</formula>
    </cfRule>
  </conditionalFormatting>
  <conditionalFormatting sqref="K10">
    <cfRule type="expression" dxfId="14604" priority="809">
      <formula>$C10&lt;$E$3</formula>
    </cfRule>
  </conditionalFormatting>
  <conditionalFormatting sqref="K10">
    <cfRule type="expression" dxfId="14603" priority="805">
      <formula>$C10=$E$3</formula>
    </cfRule>
    <cfRule type="expression" dxfId="14602" priority="806">
      <formula>$C10&lt;$E$3</formula>
    </cfRule>
    <cfRule type="cellIs" dxfId="14601" priority="807" operator="equal">
      <formula>0</formula>
    </cfRule>
    <cfRule type="expression" dxfId="14600" priority="808">
      <formula>$C10&gt;$E$3</formula>
    </cfRule>
  </conditionalFormatting>
  <conditionalFormatting sqref="K10">
    <cfRule type="expression" dxfId="14599" priority="804">
      <formula>$C10&lt;$E$3</formula>
    </cfRule>
  </conditionalFormatting>
  <conditionalFormatting sqref="K10">
    <cfRule type="expression" dxfId="14598" priority="800">
      <formula>$C10=$E$3</formula>
    </cfRule>
    <cfRule type="expression" dxfId="14597" priority="801">
      <formula>$C10&lt;$E$3</formula>
    </cfRule>
    <cfRule type="cellIs" dxfId="14596" priority="802" operator="equal">
      <formula>0</formula>
    </cfRule>
    <cfRule type="expression" dxfId="14595" priority="803">
      <formula>$C10&gt;$E$3</formula>
    </cfRule>
  </conditionalFormatting>
  <conditionalFormatting sqref="K10">
    <cfRule type="expression" dxfId="14594" priority="799">
      <formula>$C10&lt;$E$3</formula>
    </cfRule>
  </conditionalFormatting>
  <conditionalFormatting sqref="K10">
    <cfRule type="expression" dxfId="14593" priority="795">
      <formula>$C10=$E$3</formula>
    </cfRule>
    <cfRule type="expression" dxfId="14592" priority="796">
      <formula>$C10&lt;$E$3</formula>
    </cfRule>
    <cfRule type="cellIs" dxfId="14591" priority="797" operator="equal">
      <formula>0</formula>
    </cfRule>
    <cfRule type="expression" dxfId="14590" priority="798">
      <formula>$C10&gt;$E$3</formula>
    </cfRule>
  </conditionalFormatting>
  <conditionalFormatting sqref="K10">
    <cfRule type="expression" dxfId="14589" priority="794">
      <formula>$E10=""</formula>
    </cfRule>
  </conditionalFormatting>
  <conditionalFormatting sqref="K10">
    <cfRule type="expression" dxfId="14588" priority="793">
      <formula>$C10&lt;$E$3</formula>
    </cfRule>
  </conditionalFormatting>
  <conditionalFormatting sqref="K10">
    <cfRule type="expression" dxfId="14587" priority="792">
      <formula>$E10=""</formula>
    </cfRule>
  </conditionalFormatting>
  <conditionalFormatting sqref="K10">
    <cfRule type="expression" dxfId="14586" priority="791">
      <formula>$E10=""</formula>
    </cfRule>
  </conditionalFormatting>
  <conditionalFormatting sqref="K10">
    <cfRule type="expression" dxfId="14585" priority="790">
      <formula>$C10&lt;$E$3</formula>
    </cfRule>
  </conditionalFormatting>
  <conditionalFormatting sqref="K10">
    <cfRule type="expression" dxfId="14584" priority="789">
      <formula>$E10=""</formula>
    </cfRule>
  </conditionalFormatting>
  <conditionalFormatting sqref="K10">
    <cfRule type="expression" dxfId="14583" priority="788">
      <formula>$C10&lt;$E$3</formula>
    </cfRule>
  </conditionalFormatting>
  <conditionalFormatting sqref="K10">
    <cfRule type="expression" dxfId="14582" priority="787">
      <formula>$E10=""</formula>
    </cfRule>
  </conditionalFormatting>
  <conditionalFormatting sqref="K10">
    <cfRule type="expression" dxfId="14581" priority="786">
      <formula>$C10&lt;$E$3</formula>
    </cfRule>
  </conditionalFormatting>
  <conditionalFormatting sqref="K10">
    <cfRule type="expression" dxfId="14580" priority="785">
      <formula>$E10=""</formula>
    </cfRule>
  </conditionalFormatting>
  <conditionalFormatting sqref="K5:K9">
    <cfRule type="expression" dxfId="14579" priority="784">
      <formula>$C5&lt;$E$3</formula>
    </cfRule>
  </conditionalFormatting>
  <conditionalFormatting sqref="K5:K9">
    <cfRule type="expression" dxfId="14578" priority="780">
      <formula>$C5=$E$3</formula>
    </cfRule>
    <cfRule type="expression" dxfId="14577" priority="781">
      <formula>$C5&lt;$E$3</formula>
    </cfRule>
    <cfRule type="cellIs" dxfId="14576" priority="782" operator="equal">
      <formula>0</formula>
    </cfRule>
    <cfRule type="expression" dxfId="14575" priority="783">
      <formula>$C5&gt;$E$3</formula>
    </cfRule>
  </conditionalFormatting>
  <conditionalFormatting sqref="K5:K9">
    <cfRule type="expression" dxfId="14574" priority="779">
      <formula>$C5&lt;$E$3</formula>
    </cfRule>
  </conditionalFormatting>
  <conditionalFormatting sqref="K5:K9">
    <cfRule type="expression" dxfId="14573" priority="775">
      <formula>$C5=$E$3</formula>
    </cfRule>
    <cfRule type="expression" dxfId="14572" priority="776">
      <formula>$C5&lt;$E$3</formula>
    </cfRule>
    <cfRule type="cellIs" dxfId="14571" priority="777" operator="equal">
      <formula>0</formula>
    </cfRule>
    <cfRule type="expression" dxfId="14570" priority="778">
      <formula>$C5&gt;$E$3</formula>
    </cfRule>
  </conditionalFormatting>
  <conditionalFormatting sqref="K5:K9">
    <cfRule type="expression" dxfId="14569" priority="774">
      <formula>$C5&lt;$E$3</formula>
    </cfRule>
  </conditionalFormatting>
  <conditionalFormatting sqref="K5:K9">
    <cfRule type="expression" dxfId="14568" priority="770">
      <formula>$C5=$E$3</formula>
    </cfRule>
    <cfRule type="expression" dxfId="14567" priority="771">
      <formula>$C5&lt;$E$3</formula>
    </cfRule>
    <cfRule type="cellIs" dxfId="14566" priority="772" operator="equal">
      <formula>0</formula>
    </cfRule>
    <cfRule type="expression" dxfId="14565" priority="773">
      <formula>$C5&gt;$E$3</formula>
    </cfRule>
  </conditionalFormatting>
  <conditionalFormatting sqref="K5:K9">
    <cfRule type="expression" dxfId="14564" priority="769">
      <formula>$C5&lt;$E$3</formula>
    </cfRule>
  </conditionalFormatting>
  <conditionalFormatting sqref="K5:K9">
    <cfRule type="expression" dxfId="14563" priority="765">
      <formula>$C5=$E$3</formula>
    </cfRule>
    <cfRule type="expression" dxfId="14562" priority="766">
      <formula>$C5&lt;$E$3</formula>
    </cfRule>
    <cfRule type="cellIs" dxfId="14561" priority="767" operator="equal">
      <formula>0</formula>
    </cfRule>
    <cfRule type="expression" dxfId="14560" priority="768">
      <formula>$C5&gt;$E$3</formula>
    </cfRule>
  </conditionalFormatting>
  <conditionalFormatting sqref="K5:K9">
    <cfRule type="expression" dxfId="14559" priority="764">
      <formula>$E5=""</formula>
    </cfRule>
  </conditionalFormatting>
  <conditionalFormatting sqref="K5:K9">
    <cfRule type="expression" dxfId="14558" priority="763">
      <formula>$C5&lt;$E$3</formula>
    </cfRule>
  </conditionalFormatting>
  <conditionalFormatting sqref="K5:K9">
    <cfRule type="expression" dxfId="14557" priority="762">
      <formula>$E5=""</formula>
    </cfRule>
  </conditionalFormatting>
  <conditionalFormatting sqref="K5:K9">
    <cfRule type="expression" dxfId="14556" priority="761">
      <formula>$E5=""</formula>
    </cfRule>
  </conditionalFormatting>
  <conditionalFormatting sqref="K5:K9">
    <cfRule type="expression" dxfId="14555" priority="760">
      <formula>$C5&lt;$E$3</formula>
    </cfRule>
  </conditionalFormatting>
  <conditionalFormatting sqref="K5:K9">
    <cfRule type="expression" dxfId="14554" priority="759">
      <formula>$E5=""</formula>
    </cfRule>
  </conditionalFormatting>
  <conditionalFormatting sqref="K5:K9">
    <cfRule type="expression" dxfId="14553" priority="758">
      <formula>$C5&lt;$E$3</formula>
    </cfRule>
  </conditionalFormatting>
  <conditionalFormatting sqref="K5:K9">
    <cfRule type="expression" dxfId="14552" priority="757">
      <formula>$E5=""</formula>
    </cfRule>
  </conditionalFormatting>
  <conditionalFormatting sqref="K5:K9">
    <cfRule type="expression" dxfId="14551" priority="756">
      <formula>$C5&lt;$E$3</formula>
    </cfRule>
  </conditionalFormatting>
  <conditionalFormatting sqref="K5:K9">
    <cfRule type="expression" dxfId="14550" priority="755">
      <formula>$E5=""</formula>
    </cfRule>
  </conditionalFormatting>
  <conditionalFormatting sqref="K5:K9">
    <cfRule type="expression" dxfId="14549" priority="754">
      <formula>$C5&lt;$E$3</formula>
    </cfRule>
  </conditionalFormatting>
  <conditionalFormatting sqref="K5:K9">
    <cfRule type="expression" dxfId="14548" priority="750">
      <formula>$C5=$E$3</formula>
    </cfRule>
    <cfRule type="expression" dxfId="14547" priority="751">
      <formula>$C5&lt;$E$3</formula>
    </cfRule>
    <cfRule type="cellIs" dxfId="14546" priority="752" operator="equal">
      <formula>0</formula>
    </cfRule>
    <cfRule type="expression" dxfId="14545" priority="753">
      <formula>$C5&gt;$E$3</formula>
    </cfRule>
  </conditionalFormatting>
  <conditionalFormatting sqref="K5:K9">
    <cfRule type="expression" dxfId="14544" priority="749">
      <formula>$C5&lt;$E$3</formula>
    </cfRule>
  </conditionalFormatting>
  <conditionalFormatting sqref="K5:K9">
    <cfRule type="expression" dxfId="14543" priority="745">
      <formula>$C5=$E$3</formula>
    </cfRule>
    <cfRule type="expression" dxfId="14542" priority="746">
      <formula>$C5&lt;$E$3</formula>
    </cfRule>
    <cfRule type="cellIs" dxfId="14541" priority="747" operator="equal">
      <formula>0</formula>
    </cfRule>
    <cfRule type="expression" dxfId="14540" priority="748">
      <formula>$C5&gt;$E$3</formula>
    </cfRule>
  </conditionalFormatting>
  <conditionalFormatting sqref="K5:K9">
    <cfRule type="expression" dxfId="14539" priority="744">
      <formula>$C5&lt;$E$3</formula>
    </cfRule>
  </conditionalFormatting>
  <conditionalFormatting sqref="K5:K9">
    <cfRule type="expression" dxfId="14538" priority="740">
      <formula>$C5=$E$3</formula>
    </cfRule>
    <cfRule type="expression" dxfId="14537" priority="741">
      <formula>$C5&lt;$E$3</formula>
    </cfRule>
    <cfRule type="cellIs" dxfId="14536" priority="742" operator="equal">
      <formula>0</formula>
    </cfRule>
    <cfRule type="expression" dxfId="14535" priority="743">
      <formula>$C5&gt;$E$3</formula>
    </cfRule>
  </conditionalFormatting>
  <conditionalFormatting sqref="K5:K9">
    <cfRule type="expression" dxfId="14534" priority="739">
      <formula>$C5&lt;$E$3</formula>
    </cfRule>
  </conditionalFormatting>
  <conditionalFormatting sqref="K5:K9">
    <cfRule type="expression" dxfId="14533" priority="735">
      <formula>$C5=$E$3</formula>
    </cfRule>
    <cfRule type="expression" dxfId="14532" priority="736">
      <formula>$C5&lt;$E$3</formula>
    </cfRule>
    <cfRule type="cellIs" dxfId="14531" priority="737" operator="equal">
      <formula>0</formula>
    </cfRule>
    <cfRule type="expression" dxfId="14530" priority="738">
      <formula>$C5&gt;$E$3</formula>
    </cfRule>
  </conditionalFormatting>
  <conditionalFormatting sqref="K5:K9">
    <cfRule type="expression" dxfId="14529" priority="734">
      <formula>$E5=""</formula>
    </cfRule>
  </conditionalFormatting>
  <conditionalFormatting sqref="K5:K9">
    <cfRule type="expression" dxfId="14528" priority="733">
      <formula>$C5&lt;$E$3</formula>
    </cfRule>
  </conditionalFormatting>
  <conditionalFormatting sqref="K5:K9">
    <cfRule type="expression" dxfId="14527" priority="732">
      <formula>$E5=""</formula>
    </cfRule>
  </conditionalFormatting>
  <conditionalFormatting sqref="K5:K9">
    <cfRule type="expression" dxfId="14526" priority="731">
      <formula>$E5=""</formula>
    </cfRule>
  </conditionalFormatting>
  <conditionalFormatting sqref="K5:K9">
    <cfRule type="expression" dxfId="14525" priority="730">
      <formula>$C5&lt;$E$3</formula>
    </cfRule>
  </conditionalFormatting>
  <conditionalFormatting sqref="K5:K9">
    <cfRule type="expression" dxfId="14524" priority="729">
      <formula>$E5=""</formula>
    </cfRule>
  </conditionalFormatting>
  <conditionalFormatting sqref="K5:K9">
    <cfRule type="expression" dxfId="14523" priority="728">
      <formula>$C5&lt;$E$3</formula>
    </cfRule>
  </conditionalFormatting>
  <conditionalFormatting sqref="K5:K9">
    <cfRule type="expression" dxfId="14522" priority="727">
      <formula>$E5=""</formula>
    </cfRule>
  </conditionalFormatting>
  <conditionalFormatting sqref="K5:K9">
    <cfRule type="expression" dxfId="14521" priority="726">
      <formula>$C5&lt;$E$3</formula>
    </cfRule>
  </conditionalFormatting>
  <conditionalFormatting sqref="K5:K9">
    <cfRule type="expression" dxfId="14520" priority="725">
      <formula>$E5=""</formula>
    </cfRule>
  </conditionalFormatting>
  <conditionalFormatting sqref="K5:K11">
    <cfRule type="expression" dxfId="14519" priority="723">
      <formula>$C5&lt;$E$3</formula>
    </cfRule>
  </conditionalFormatting>
  <conditionalFormatting sqref="K5:K11">
    <cfRule type="expression" dxfId="14518" priority="720">
      <formula>$C5=$E$3</formula>
    </cfRule>
    <cfRule type="expression" dxfId="14517" priority="721">
      <formula>$C5&lt;$E$3</formula>
    </cfRule>
    <cfRule type="cellIs" dxfId="14516" priority="722" operator="equal">
      <formula>0</formula>
    </cfRule>
    <cfRule type="expression" dxfId="14515" priority="724">
      <formula>$C5&gt;$E$3</formula>
    </cfRule>
  </conditionalFormatting>
  <conditionalFormatting sqref="K5:K11">
    <cfRule type="expression" dxfId="14514" priority="719">
      <formula>$E5=""</formula>
    </cfRule>
  </conditionalFormatting>
  <conditionalFormatting sqref="K5:K11">
    <cfRule type="expression" dxfId="14513" priority="718">
      <formula>$E5=""</formula>
    </cfRule>
  </conditionalFormatting>
  <conditionalFormatting sqref="K5:K11">
    <cfRule type="expression" dxfId="14512" priority="717">
      <formula>$E5=""</formula>
    </cfRule>
  </conditionalFormatting>
  <conditionalFormatting sqref="K50:K51">
    <cfRule type="expression" dxfId="14511" priority="715">
      <formula>$C50&lt;$E$3</formula>
    </cfRule>
  </conditionalFormatting>
  <conditionalFormatting sqref="K50:K51">
    <cfRule type="expression" dxfId="14510" priority="712">
      <formula>$C50=$E$3</formula>
    </cfRule>
    <cfRule type="expression" dxfId="14509" priority="713">
      <formula>$C50&lt;$E$3</formula>
    </cfRule>
    <cfRule type="cellIs" dxfId="14508" priority="714" operator="equal">
      <formula>0</formula>
    </cfRule>
    <cfRule type="expression" dxfId="14507" priority="716">
      <formula>$C50&gt;$E$3</formula>
    </cfRule>
  </conditionalFormatting>
  <conditionalFormatting sqref="K50:K51">
    <cfRule type="expression" dxfId="14506" priority="711">
      <formula>$E50=""</formula>
    </cfRule>
  </conditionalFormatting>
  <conditionalFormatting sqref="K50:K51">
    <cfRule type="expression" dxfId="14505" priority="710">
      <formula>$E50=""</formula>
    </cfRule>
  </conditionalFormatting>
  <conditionalFormatting sqref="K50:K51">
    <cfRule type="expression" dxfId="14504" priority="709">
      <formula>$E50=""</formula>
    </cfRule>
  </conditionalFormatting>
  <conditionalFormatting sqref="K50:K51">
    <cfRule type="cellIs" dxfId="14503" priority="708" stopIfTrue="1" operator="lessThan">
      <formula>0</formula>
    </cfRule>
  </conditionalFormatting>
  <conditionalFormatting sqref="K50:K51">
    <cfRule type="expression" dxfId="14502" priority="706">
      <formula>$C50&lt;$E$3</formula>
    </cfRule>
  </conditionalFormatting>
  <conditionalFormatting sqref="K50:K51">
    <cfRule type="expression" dxfId="14501" priority="703">
      <formula>$C50=$E$3</formula>
    </cfRule>
    <cfRule type="expression" dxfId="14500" priority="704">
      <formula>$C50&lt;$E$3</formula>
    </cfRule>
    <cfRule type="cellIs" dxfId="14499" priority="705" operator="equal">
      <formula>0</formula>
    </cfRule>
    <cfRule type="expression" dxfId="14498" priority="707">
      <formula>$C50&gt;$E$3</formula>
    </cfRule>
  </conditionalFormatting>
  <conditionalFormatting sqref="K50:K51">
    <cfRule type="expression" dxfId="14497" priority="702">
      <formula>$E50=""</formula>
    </cfRule>
  </conditionalFormatting>
  <conditionalFormatting sqref="K50:K51">
    <cfRule type="expression" dxfId="14496" priority="701">
      <formula>$E50=""</formula>
    </cfRule>
  </conditionalFormatting>
  <conditionalFormatting sqref="K50:K51">
    <cfRule type="expression" dxfId="14495" priority="700">
      <formula>$E50=""</formula>
    </cfRule>
  </conditionalFormatting>
  <conditionalFormatting sqref="K50:K51">
    <cfRule type="cellIs" dxfId="14494" priority="699" stopIfTrue="1" operator="lessThan">
      <formula>0</formula>
    </cfRule>
  </conditionalFormatting>
  <conditionalFormatting sqref="K50:K51">
    <cfRule type="cellIs" dxfId="14493" priority="698" stopIfTrue="1" operator="lessThan">
      <formula>0</formula>
    </cfRule>
  </conditionalFormatting>
  <conditionalFormatting sqref="K50:K51">
    <cfRule type="cellIs" dxfId="14492" priority="697" stopIfTrue="1" operator="lessThan">
      <formula>0</formula>
    </cfRule>
  </conditionalFormatting>
  <conditionalFormatting sqref="K50:K51">
    <cfRule type="cellIs" dxfId="14491" priority="696" stopIfTrue="1" operator="lessThan">
      <formula>0</formula>
    </cfRule>
  </conditionalFormatting>
  <conditionalFormatting sqref="K50:K51">
    <cfRule type="expression" dxfId="14490" priority="695">
      <formula>$C50&lt;$E$3</formula>
    </cfRule>
  </conditionalFormatting>
  <conditionalFormatting sqref="K50:K51">
    <cfRule type="expression" dxfId="14489" priority="691">
      <formula>$C50=$E$3</formula>
    </cfRule>
    <cfRule type="expression" dxfId="14488" priority="692">
      <formula>$C50&lt;$E$3</formula>
    </cfRule>
    <cfRule type="cellIs" dxfId="14487" priority="693" operator="equal">
      <formula>0</formula>
    </cfRule>
    <cfRule type="expression" dxfId="14486" priority="694">
      <formula>$C50&gt;$E$3</formula>
    </cfRule>
  </conditionalFormatting>
  <conditionalFormatting sqref="K50:K51">
    <cfRule type="expression" dxfId="14485" priority="690">
      <formula>$C50&lt;$E$3</formula>
    </cfRule>
  </conditionalFormatting>
  <conditionalFormatting sqref="K50:K51">
    <cfRule type="expression" dxfId="14484" priority="686">
      <formula>$C50=$E$3</formula>
    </cfRule>
    <cfRule type="expression" dxfId="14483" priority="687">
      <formula>$C50&lt;$E$3</formula>
    </cfRule>
    <cfRule type="cellIs" dxfId="14482" priority="688" operator="equal">
      <formula>0</formula>
    </cfRule>
    <cfRule type="expression" dxfId="14481" priority="689">
      <formula>$C50&gt;$E$3</formula>
    </cfRule>
  </conditionalFormatting>
  <conditionalFormatting sqref="K50:K51">
    <cfRule type="expression" dxfId="14480" priority="685">
      <formula>$C50&lt;$E$3</formula>
    </cfRule>
  </conditionalFormatting>
  <conditionalFormatting sqref="K50:K51">
    <cfRule type="expression" dxfId="14479" priority="681">
      <formula>$C50=$E$3</formula>
    </cfRule>
    <cfRule type="expression" dxfId="14478" priority="682">
      <formula>$C50&lt;$E$3</formula>
    </cfRule>
    <cfRule type="cellIs" dxfId="14477" priority="683" operator="equal">
      <formula>0</formula>
    </cfRule>
    <cfRule type="expression" dxfId="14476" priority="684">
      <formula>$C50&gt;$E$3</formula>
    </cfRule>
  </conditionalFormatting>
  <conditionalFormatting sqref="K50:K51">
    <cfRule type="expression" dxfId="14475" priority="680">
      <formula>$C50&lt;$E$3</formula>
    </cfRule>
  </conditionalFormatting>
  <conditionalFormatting sqref="K50:K51">
    <cfRule type="expression" dxfId="14474" priority="676">
      <formula>$C50=$E$3</formula>
    </cfRule>
    <cfRule type="expression" dxfId="14473" priority="677">
      <formula>$C50&lt;$E$3</formula>
    </cfRule>
    <cfRule type="cellIs" dxfId="14472" priority="678" operator="equal">
      <formula>0</formula>
    </cfRule>
    <cfRule type="expression" dxfId="14471" priority="679">
      <formula>$C50&gt;$E$3</formula>
    </cfRule>
  </conditionalFormatting>
  <conditionalFormatting sqref="K50:K51">
    <cfRule type="expression" dxfId="14470" priority="675">
      <formula>$E50=""</formula>
    </cfRule>
  </conditionalFormatting>
  <conditionalFormatting sqref="K50:K51">
    <cfRule type="expression" dxfId="14469" priority="674">
      <formula>$C50&lt;$E$3</formula>
    </cfRule>
  </conditionalFormatting>
  <conditionalFormatting sqref="K50:K51">
    <cfRule type="expression" dxfId="14468" priority="673">
      <formula>$E50=""</formula>
    </cfRule>
  </conditionalFormatting>
  <conditionalFormatting sqref="K50:K51">
    <cfRule type="expression" dxfId="14467" priority="672">
      <formula>$E50=""</formula>
    </cfRule>
  </conditionalFormatting>
  <conditionalFormatting sqref="K50:K51">
    <cfRule type="expression" dxfId="14466" priority="671">
      <formula>$C50&lt;$E$3</formula>
    </cfRule>
  </conditionalFormatting>
  <conditionalFormatting sqref="K50:K51">
    <cfRule type="expression" dxfId="14465" priority="670">
      <formula>$E50=""</formula>
    </cfRule>
  </conditionalFormatting>
  <conditionalFormatting sqref="K50:K51">
    <cfRule type="expression" dxfId="14464" priority="669">
      <formula>$C50&lt;$E$3</formula>
    </cfRule>
  </conditionalFormatting>
  <conditionalFormatting sqref="K50:K51">
    <cfRule type="expression" dxfId="14463" priority="668">
      <formula>$E50=""</formula>
    </cfRule>
  </conditionalFormatting>
  <conditionalFormatting sqref="K50:K51">
    <cfRule type="expression" dxfId="14462" priority="667">
      <formula>$C50&lt;$E$3</formula>
    </cfRule>
  </conditionalFormatting>
  <conditionalFormatting sqref="K50:K51">
    <cfRule type="expression" dxfId="14461" priority="666">
      <formula>$E50=""</formula>
    </cfRule>
  </conditionalFormatting>
  <conditionalFormatting sqref="K50:K51">
    <cfRule type="expression" dxfId="14460" priority="665">
      <formula>$C50&lt;$E$3</formula>
    </cfRule>
  </conditionalFormatting>
  <conditionalFormatting sqref="K50:K51">
    <cfRule type="expression" dxfId="14459" priority="661">
      <formula>$C50=$E$3</formula>
    </cfRule>
    <cfRule type="expression" dxfId="14458" priority="662">
      <formula>$C50&lt;$E$3</formula>
    </cfRule>
    <cfRule type="cellIs" dxfId="14457" priority="663" operator="equal">
      <formula>0</formula>
    </cfRule>
    <cfRule type="expression" dxfId="14456" priority="664">
      <formula>$C50&gt;$E$3</formula>
    </cfRule>
  </conditionalFormatting>
  <conditionalFormatting sqref="K50:K51">
    <cfRule type="expression" dxfId="14455" priority="660">
      <formula>$C50&lt;$E$3</formula>
    </cfRule>
  </conditionalFormatting>
  <conditionalFormatting sqref="K50:K51">
    <cfRule type="expression" dxfId="14454" priority="656">
      <formula>$C50=$E$3</formula>
    </cfRule>
    <cfRule type="expression" dxfId="14453" priority="657">
      <formula>$C50&lt;$E$3</formula>
    </cfRule>
    <cfRule type="cellIs" dxfId="14452" priority="658" operator="equal">
      <formula>0</formula>
    </cfRule>
    <cfRule type="expression" dxfId="14451" priority="659">
      <formula>$C50&gt;$E$3</formula>
    </cfRule>
  </conditionalFormatting>
  <conditionalFormatting sqref="K50:K51">
    <cfRule type="expression" dxfId="14450" priority="655">
      <formula>$C50&lt;$E$3</formula>
    </cfRule>
  </conditionalFormatting>
  <conditionalFormatting sqref="K50:K51">
    <cfRule type="expression" dxfId="14449" priority="651">
      <formula>$C50=$E$3</formula>
    </cfRule>
    <cfRule type="expression" dxfId="14448" priority="652">
      <formula>$C50&lt;$E$3</formula>
    </cfRule>
    <cfRule type="cellIs" dxfId="14447" priority="653" operator="equal">
      <formula>0</formula>
    </cfRule>
    <cfRule type="expression" dxfId="14446" priority="654">
      <formula>$C50&gt;$E$3</formula>
    </cfRule>
  </conditionalFormatting>
  <conditionalFormatting sqref="K50:K51">
    <cfRule type="expression" dxfId="14445" priority="650">
      <formula>$C50&lt;$E$3</formula>
    </cfRule>
  </conditionalFormatting>
  <conditionalFormatting sqref="K50:K51">
    <cfRule type="expression" dxfId="14444" priority="646">
      <formula>$C50=$E$3</formula>
    </cfRule>
    <cfRule type="expression" dxfId="14443" priority="647">
      <formula>$C50&lt;$E$3</formula>
    </cfRule>
    <cfRule type="cellIs" dxfId="14442" priority="648" operator="equal">
      <formula>0</formula>
    </cfRule>
    <cfRule type="expression" dxfId="14441" priority="649">
      <formula>$C50&gt;$E$3</formula>
    </cfRule>
  </conditionalFormatting>
  <conditionalFormatting sqref="K50:K51">
    <cfRule type="expression" dxfId="14440" priority="645">
      <formula>$E50=""</formula>
    </cfRule>
  </conditionalFormatting>
  <conditionalFormatting sqref="K50:K51">
    <cfRule type="expression" dxfId="14439" priority="644">
      <formula>$C50&lt;$E$3</formula>
    </cfRule>
  </conditionalFormatting>
  <conditionalFormatting sqref="K50:K51">
    <cfRule type="expression" dxfId="14438" priority="643">
      <formula>$E50=""</formula>
    </cfRule>
  </conditionalFormatting>
  <conditionalFormatting sqref="K50:K51">
    <cfRule type="expression" dxfId="14437" priority="642">
      <formula>$E50=""</formula>
    </cfRule>
  </conditionalFormatting>
  <conditionalFormatting sqref="K50:K51">
    <cfRule type="expression" dxfId="14436" priority="641">
      <formula>$C50&lt;$E$3</formula>
    </cfRule>
  </conditionalFormatting>
  <conditionalFormatting sqref="K50:K51">
    <cfRule type="expression" dxfId="14435" priority="640">
      <formula>$E50=""</formula>
    </cfRule>
  </conditionalFormatting>
  <conditionalFormatting sqref="K50:K51">
    <cfRule type="expression" dxfId="14434" priority="639">
      <formula>$C50&lt;$E$3</formula>
    </cfRule>
  </conditionalFormatting>
  <conditionalFormatting sqref="K50:K51">
    <cfRule type="expression" dxfId="14433" priority="638">
      <formula>$E50=""</formula>
    </cfRule>
  </conditionalFormatting>
  <conditionalFormatting sqref="K50:K51">
    <cfRule type="expression" dxfId="14432" priority="637">
      <formula>$C50&lt;$E$3</formula>
    </cfRule>
  </conditionalFormatting>
  <conditionalFormatting sqref="K50:K51">
    <cfRule type="expression" dxfId="14431" priority="636">
      <formula>$E50=""</formula>
    </cfRule>
  </conditionalFormatting>
  <conditionalFormatting sqref="J14:J20 L14:M20 J41:J47 L32:M38 L41:M47 J23:J29 J32:J38 L23:M29">
    <cfRule type="cellIs" dxfId="14430" priority="626" stopIfTrue="1" operator="lessThan">
      <formula>0</formula>
    </cfRule>
  </conditionalFormatting>
  <conditionalFormatting sqref="J14:J20 J41:J47 L14:M20 L32:M38 L41:M47 J23:J29 J32:J38 L23:M29">
    <cfRule type="expression" dxfId="14429" priority="624">
      <formula>$C14&lt;$E$3</formula>
    </cfRule>
  </conditionalFormatting>
  <conditionalFormatting sqref="J14:J20 J41:J47 L14:M20 L32:M38 L41:M47 J23:J29 J32:J38 L23:M29">
    <cfRule type="expression" dxfId="14428" priority="621">
      <formula>$C14=$E$3</formula>
    </cfRule>
    <cfRule type="expression" dxfId="14427" priority="622">
      <formula>$C14&lt;$E$3</formula>
    </cfRule>
    <cfRule type="cellIs" dxfId="14426" priority="623" operator="equal">
      <formula>0</formula>
    </cfRule>
    <cfRule type="expression" dxfId="14425" priority="625">
      <formula>$C14&gt;$E$3</formula>
    </cfRule>
  </conditionalFormatting>
  <conditionalFormatting sqref="J14:J20 J41:J47 L14:M20 L32:M38 L41:M47 J23:J29 J32:J38 L23:M29">
    <cfRule type="expression" dxfId="14424" priority="620">
      <formula>$E14=""</formula>
    </cfRule>
  </conditionalFormatting>
  <conditionalFormatting sqref="J41:J47 J14:J20 L14:M20 L32:M38 L41:M47 J23:J29 J32:J38 L23:M29">
    <cfRule type="expression" dxfId="14423" priority="619">
      <formula>$E14=""</formula>
    </cfRule>
  </conditionalFormatting>
  <conditionalFormatting sqref="J41:J47 J14:J20 L14:M20 L32:M38 L41:M47 J23:J29 J32:J38 L23:M29">
    <cfRule type="expression" dxfId="14422" priority="618">
      <formula>$E14=""</formula>
    </cfRule>
  </conditionalFormatting>
  <conditionalFormatting sqref="M14:M20 M32:M38 M41:M47 M23:M29">
    <cfRule type="expression" dxfId="14421" priority="617">
      <formula>$C14&lt;$E$3</formula>
    </cfRule>
  </conditionalFormatting>
  <conditionalFormatting sqref="M14:M20 M32:M38 M41:M47 M23:M29">
    <cfRule type="expression" dxfId="14420" priority="613">
      <formula>$C14=$E$3</formula>
    </cfRule>
    <cfRule type="expression" dxfId="14419" priority="614">
      <formula>$C14&lt;$E$3</formula>
    </cfRule>
    <cfRule type="cellIs" dxfId="14418" priority="615" operator="equal">
      <formula>0</formula>
    </cfRule>
    <cfRule type="expression" dxfId="14417" priority="616">
      <formula>$C14&gt;$E$3</formula>
    </cfRule>
  </conditionalFormatting>
  <conditionalFormatting sqref="M14:M20 M32:M38 M41:M47 M23:M29">
    <cfRule type="expression" dxfId="14416" priority="612">
      <formula>$C14&lt;$E$3</formula>
    </cfRule>
  </conditionalFormatting>
  <conditionalFormatting sqref="M14:M20 M32:M38 M41:M47 M23:M29">
    <cfRule type="expression" dxfId="14415" priority="608">
      <formula>$C14=$E$3</formula>
    </cfRule>
    <cfRule type="expression" dxfId="14414" priority="609">
      <formula>$C14&lt;$E$3</formula>
    </cfRule>
    <cfRule type="cellIs" dxfId="14413" priority="610" operator="equal">
      <formula>0</formula>
    </cfRule>
    <cfRule type="expression" dxfId="14412" priority="611">
      <formula>$C14&gt;$E$3</formula>
    </cfRule>
  </conditionalFormatting>
  <conditionalFormatting sqref="M14:M20 M32:M38 M41:M47 M23:M29">
    <cfRule type="expression" dxfId="14411" priority="607">
      <formula>$C14&lt;$E$3</formula>
    </cfRule>
  </conditionalFormatting>
  <conditionalFormatting sqref="M14:M20 M32:M38 M41:M47 M23:M29">
    <cfRule type="expression" dxfId="14410" priority="603">
      <formula>$C14=$E$3</formula>
    </cfRule>
    <cfRule type="expression" dxfId="14409" priority="604">
      <formula>$C14&lt;$E$3</formula>
    </cfRule>
    <cfRule type="cellIs" dxfId="14408" priority="605" operator="equal">
      <formula>0</formula>
    </cfRule>
    <cfRule type="expression" dxfId="14407" priority="606">
      <formula>$C14&gt;$E$3</formula>
    </cfRule>
  </conditionalFormatting>
  <conditionalFormatting sqref="M14:M20 M32:M38 M41:M47 M23:M29">
    <cfRule type="expression" dxfId="14406" priority="602">
      <formula>$C14&lt;$E$3</formula>
    </cfRule>
  </conditionalFormatting>
  <conditionalFormatting sqref="M14:M20 M32:M38 M41:M47 M23:M29">
    <cfRule type="expression" dxfId="14405" priority="598">
      <formula>$C14=$E$3</formula>
    </cfRule>
    <cfRule type="expression" dxfId="14404" priority="599">
      <formula>$C14&lt;$E$3</formula>
    </cfRule>
    <cfRule type="cellIs" dxfId="14403" priority="600" operator="equal">
      <formula>0</formula>
    </cfRule>
    <cfRule type="expression" dxfId="14402" priority="601">
      <formula>$C14&gt;$E$3</formula>
    </cfRule>
  </conditionalFormatting>
  <conditionalFormatting sqref="M14:M20 M32:M38 M41:M47 M23:M29">
    <cfRule type="expression" dxfId="14401" priority="597">
      <formula>$E14=""</formula>
    </cfRule>
  </conditionalFormatting>
  <conditionalFormatting sqref="M14:M20 M32:M38 M41:M47 M23:M29">
    <cfRule type="expression" dxfId="14400" priority="596">
      <formula>$C14&lt;$E$3</formula>
    </cfRule>
  </conditionalFormatting>
  <conditionalFormatting sqref="M14:M20 M32:M38 M41:M47 M23:M29">
    <cfRule type="expression" dxfId="14399" priority="595">
      <formula>$E14=""</formula>
    </cfRule>
  </conditionalFormatting>
  <conditionalFormatting sqref="M32:M38 M41:M47 M14:M20 M23:M29">
    <cfRule type="expression" dxfId="14398" priority="594">
      <formula>$E14=""</formula>
    </cfRule>
  </conditionalFormatting>
  <conditionalFormatting sqref="M14:M20 M32:M38 M41:M47 M23:M29">
    <cfRule type="expression" dxfId="14397" priority="593">
      <formula>$C14&lt;$E$3</formula>
    </cfRule>
  </conditionalFormatting>
  <conditionalFormatting sqref="M14:M20 M32:M38 M41:M47 M23:M29">
    <cfRule type="expression" dxfId="14396" priority="592">
      <formula>$E14=""</formula>
    </cfRule>
  </conditionalFormatting>
  <conditionalFormatting sqref="M14:M20 M32:M38 M41:M47 M23:M29">
    <cfRule type="expression" dxfId="14395" priority="591">
      <formula>$C14&lt;$E$3</formula>
    </cfRule>
  </conditionalFormatting>
  <conditionalFormatting sqref="M14:M20 M32:M38 M41:M47 M23:M29">
    <cfRule type="expression" dxfId="14394" priority="590">
      <formula>$E14=""</formula>
    </cfRule>
  </conditionalFormatting>
  <conditionalFormatting sqref="M14:M20 M32:M38 M41:M47 M23:M29">
    <cfRule type="expression" dxfId="14393" priority="588">
      <formula>$E14=""</formula>
    </cfRule>
  </conditionalFormatting>
  <conditionalFormatting sqref="M14:M20 M32:M38 M41:M47 M23:M29">
    <cfRule type="expression" dxfId="14392" priority="583">
      <formula>$C14=$E$3</formula>
    </cfRule>
    <cfRule type="expression" dxfId="14391" priority="584">
      <formula>$C14&lt;$E$3</formula>
    </cfRule>
    <cfRule type="cellIs" dxfId="14390" priority="585" operator="equal">
      <formula>0</formula>
    </cfRule>
    <cfRule type="expression" dxfId="14389" priority="586">
      <formula>$C14&gt;$E$3</formula>
    </cfRule>
  </conditionalFormatting>
  <conditionalFormatting sqref="M14:M20 M32:M38 M41:M47 M23:M29">
    <cfRule type="expression" dxfId="14388" priority="582">
      <formula>$C14&lt;$E$3</formula>
    </cfRule>
  </conditionalFormatting>
  <conditionalFormatting sqref="M14:M20 M32:M38 M41:M47 M23:M29">
    <cfRule type="expression" dxfId="14387" priority="578">
      <formula>$C14=$E$3</formula>
    </cfRule>
    <cfRule type="expression" dxfId="14386" priority="579">
      <formula>$C14&lt;$E$3</formula>
    </cfRule>
    <cfRule type="cellIs" dxfId="14385" priority="580" operator="equal">
      <formula>0</formula>
    </cfRule>
    <cfRule type="expression" dxfId="14384" priority="581">
      <formula>$C14&gt;$E$3</formula>
    </cfRule>
  </conditionalFormatting>
  <conditionalFormatting sqref="M14:M20 M32:M38 M41:M47 M23:M29">
    <cfRule type="expression" dxfId="14383" priority="577">
      <formula>$C14&lt;$E$3</formula>
    </cfRule>
  </conditionalFormatting>
  <conditionalFormatting sqref="M14:M20 M32:M38 M41:M47 M23:M29">
    <cfRule type="expression" dxfId="14382" priority="573">
      <formula>$C14=$E$3</formula>
    </cfRule>
    <cfRule type="expression" dxfId="14381" priority="574">
      <formula>$C14&lt;$E$3</formula>
    </cfRule>
    <cfRule type="cellIs" dxfId="14380" priority="575" operator="equal">
      <formula>0</formula>
    </cfRule>
    <cfRule type="expression" dxfId="14379" priority="576">
      <formula>$C14&gt;$E$3</formula>
    </cfRule>
  </conditionalFormatting>
  <conditionalFormatting sqref="M14:M20 M32:M38 M41:M47 M23:M29">
    <cfRule type="expression" dxfId="14378" priority="572">
      <formula>$C14&lt;$E$3</formula>
    </cfRule>
  </conditionalFormatting>
  <conditionalFormatting sqref="M14:M20 M32:M38 M41:M47 M23:M29">
    <cfRule type="expression" dxfId="14377" priority="568">
      <formula>$C14=$E$3</formula>
    </cfRule>
    <cfRule type="expression" dxfId="14376" priority="569">
      <formula>$C14&lt;$E$3</formula>
    </cfRule>
    <cfRule type="cellIs" dxfId="14375" priority="570" operator="equal">
      <formula>0</formula>
    </cfRule>
    <cfRule type="expression" dxfId="14374" priority="571">
      <formula>$C14&gt;$E$3</formula>
    </cfRule>
  </conditionalFormatting>
  <conditionalFormatting sqref="M14:M20 M32:M38 M41:M47 M23:M29">
    <cfRule type="expression" dxfId="14373" priority="567">
      <formula>$E14=""</formula>
    </cfRule>
  </conditionalFormatting>
  <conditionalFormatting sqref="M14:M20 M32:M38 M41:M47 M23:M29">
    <cfRule type="expression" dxfId="14372" priority="566">
      <formula>$C14&lt;$E$3</formula>
    </cfRule>
  </conditionalFormatting>
  <conditionalFormatting sqref="M14:M20 M32:M38 M41:M47 M23:M29">
    <cfRule type="expression" dxfId="14371" priority="565">
      <formula>$E14=""</formula>
    </cfRule>
  </conditionalFormatting>
  <conditionalFormatting sqref="M32:M38 M41:M47 M14:M20 M23:M29">
    <cfRule type="expression" dxfId="14370" priority="564">
      <formula>$E14=""</formula>
    </cfRule>
  </conditionalFormatting>
  <conditionalFormatting sqref="M14:M20 M32:M38 M41:M47 M23:M29">
    <cfRule type="expression" dxfId="14369" priority="563">
      <formula>$C14&lt;$E$3</formula>
    </cfRule>
  </conditionalFormatting>
  <conditionalFormatting sqref="M14:M20 M32:M38 M41:M47 M23:M29">
    <cfRule type="expression" dxfId="14368" priority="562">
      <formula>$E14=""</formula>
    </cfRule>
  </conditionalFormatting>
  <conditionalFormatting sqref="M14:M20 M32:M38 M41:M47 M23:M29">
    <cfRule type="expression" dxfId="14367" priority="561">
      <formula>$C14&lt;$E$3</formula>
    </cfRule>
  </conditionalFormatting>
  <conditionalFormatting sqref="M14:M20 M32:M38 M41:M47 M23:M29">
    <cfRule type="expression" dxfId="14366" priority="560">
      <formula>$E14=""</formula>
    </cfRule>
  </conditionalFormatting>
  <conditionalFormatting sqref="M14:M20 M32:M38 M41:M47 M23:M29">
    <cfRule type="expression" dxfId="14365" priority="558">
      <formula>$E14=""</formula>
    </cfRule>
  </conditionalFormatting>
  <conditionalFormatting sqref="K37">
    <cfRule type="expression" dxfId="14364" priority="263">
      <formula>$C37&lt;$E$3</formula>
    </cfRule>
  </conditionalFormatting>
  <conditionalFormatting sqref="K37">
    <cfRule type="expression" dxfId="14363" priority="259">
      <formula>$C37=$E$3</formula>
    </cfRule>
    <cfRule type="expression" dxfId="14362" priority="260">
      <formula>$C37&lt;$E$3</formula>
    </cfRule>
    <cfRule type="cellIs" dxfId="14361" priority="261" operator="equal">
      <formula>0</formula>
    </cfRule>
    <cfRule type="expression" dxfId="14360" priority="262">
      <formula>$C37&gt;$E$3</formula>
    </cfRule>
  </conditionalFormatting>
  <conditionalFormatting sqref="K37">
    <cfRule type="expression" dxfId="14359" priority="258">
      <formula>$C37&lt;$E$3</formula>
    </cfRule>
  </conditionalFormatting>
  <conditionalFormatting sqref="K37">
    <cfRule type="expression" dxfId="14358" priority="254">
      <formula>$C37=$E$3</formula>
    </cfRule>
    <cfRule type="expression" dxfId="14357" priority="255">
      <formula>$C37&lt;$E$3</formula>
    </cfRule>
    <cfRule type="cellIs" dxfId="14356" priority="256" operator="equal">
      <formula>0</formula>
    </cfRule>
    <cfRule type="expression" dxfId="14355" priority="257">
      <formula>$C37&gt;$E$3</formula>
    </cfRule>
  </conditionalFormatting>
  <conditionalFormatting sqref="K37">
    <cfRule type="expression" dxfId="14354" priority="233">
      <formula>$C37&lt;$E$3</formula>
    </cfRule>
  </conditionalFormatting>
  <conditionalFormatting sqref="K37">
    <cfRule type="expression" dxfId="14353" priority="229">
      <formula>$C37=$E$3</formula>
    </cfRule>
    <cfRule type="expression" dxfId="14352" priority="230">
      <formula>$C37&lt;$E$3</formula>
    </cfRule>
    <cfRule type="cellIs" dxfId="14351" priority="231" operator="equal">
      <formula>0</formula>
    </cfRule>
    <cfRule type="expression" dxfId="14350" priority="232">
      <formula>$C37&gt;$E$3</formula>
    </cfRule>
  </conditionalFormatting>
  <conditionalFormatting sqref="K37">
    <cfRule type="expression" dxfId="14349" priority="228">
      <formula>$C37&lt;$E$3</formula>
    </cfRule>
  </conditionalFormatting>
  <conditionalFormatting sqref="K37">
    <cfRule type="expression" dxfId="14348" priority="224">
      <formula>$C37=$E$3</formula>
    </cfRule>
    <cfRule type="expression" dxfId="14347" priority="225">
      <formula>$C37&lt;$E$3</formula>
    </cfRule>
    <cfRule type="cellIs" dxfId="14346" priority="226" operator="equal">
      <formula>0</formula>
    </cfRule>
    <cfRule type="expression" dxfId="14345" priority="227">
      <formula>$C37&gt;$E$3</formula>
    </cfRule>
  </conditionalFormatting>
  <conditionalFormatting sqref="K32:K36">
    <cfRule type="expression" dxfId="14344" priority="203">
      <formula>$C32&lt;$E$3</formula>
    </cfRule>
  </conditionalFormatting>
  <conditionalFormatting sqref="K32:K36">
    <cfRule type="expression" dxfId="14343" priority="199">
      <formula>$C32=$E$3</formula>
    </cfRule>
    <cfRule type="expression" dxfId="14342" priority="200">
      <formula>$C32&lt;$E$3</formula>
    </cfRule>
    <cfRule type="cellIs" dxfId="14341" priority="201" operator="equal">
      <formula>0</formula>
    </cfRule>
    <cfRule type="expression" dxfId="14340" priority="202">
      <formula>$C32&gt;$E$3</formula>
    </cfRule>
  </conditionalFormatting>
  <conditionalFormatting sqref="K32:K36">
    <cfRule type="expression" dxfId="14339" priority="198">
      <formula>$C32&lt;$E$3</formula>
    </cfRule>
  </conditionalFormatting>
  <conditionalFormatting sqref="K32:K36">
    <cfRule type="expression" dxfId="14338" priority="194">
      <formula>$C32=$E$3</formula>
    </cfRule>
    <cfRule type="expression" dxfId="14337" priority="195">
      <formula>$C32&lt;$E$3</formula>
    </cfRule>
    <cfRule type="cellIs" dxfId="14336" priority="196" operator="equal">
      <formula>0</formula>
    </cfRule>
    <cfRule type="expression" dxfId="14335" priority="197">
      <formula>$C32&gt;$E$3</formula>
    </cfRule>
  </conditionalFormatting>
  <conditionalFormatting sqref="J39:N40">
    <cfRule type="expression" dxfId="14334" priority="557">
      <formula>$L$40=0</formula>
    </cfRule>
  </conditionalFormatting>
  <conditionalFormatting sqref="K14:K20">
    <cfRule type="cellIs" dxfId="14333" priority="556" stopIfTrue="1" operator="lessThan">
      <formula>0</formula>
    </cfRule>
  </conditionalFormatting>
  <conditionalFormatting sqref="K14:K20">
    <cfRule type="expression" dxfId="14332" priority="554">
      <formula>$C14&lt;$E$3</formula>
    </cfRule>
  </conditionalFormatting>
  <conditionalFormatting sqref="K14:K20">
    <cfRule type="expression" dxfId="14331" priority="551">
      <formula>$C14=$E$3</formula>
    </cfRule>
    <cfRule type="expression" dxfId="14330" priority="552">
      <formula>$C14&lt;$E$3</formula>
    </cfRule>
    <cfRule type="cellIs" dxfId="14329" priority="553" operator="equal">
      <formula>0</formula>
    </cfRule>
    <cfRule type="expression" dxfId="14328" priority="555">
      <formula>$C14&gt;$E$3</formula>
    </cfRule>
  </conditionalFormatting>
  <conditionalFormatting sqref="K14:K20">
    <cfRule type="expression" dxfId="14327" priority="550">
      <formula>$E14=""</formula>
    </cfRule>
  </conditionalFormatting>
  <conditionalFormatting sqref="K14:K20">
    <cfRule type="expression" dxfId="14326" priority="549">
      <formula>$E14=""</formula>
    </cfRule>
  </conditionalFormatting>
  <conditionalFormatting sqref="K14:K20">
    <cfRule type="expression" dxfId="14325" priority="548">
      <formula>$E14=""</formula>
    </cfRule>
  </conditionalFormatting>
  <conditionalFormatting sqref="K19">
    <cfRule type="expression" dxfId="14324" priority="547">
      <formula>$C19&lt;$E$3</formula>
    </cfRule>
  </conditionalFormatting>
  <conditionalFormatting sqref="K19">
    <cfRule type="expression" dxfId="14323" priority="543">
      <formula>$C19=$E$3</formula>
    </cfRule>
    <cfRule type="expression" dxfId="14322" priority="544">
      <formula>$C19&lt;$E$3</formula>
    </cfRule>
    <cfRule type="cellIs" dxfId="14321" priority="545" operator="equal">
      <formula>0</formula>
    </cfRule>
    <cfRule type="expression" dxfId="14320" priority="546">
      <formula>$C19&gt;$E$3</formula>
    </cfRule>
  </conditionalFormatting>
  <conditionalFormatting sqref="K19">
    <cfRule type="expression" dxfId="14319" priority="542">
      <formula>$C19&lt;$E$3</formula>
    </cfRule>
  </conditionalFormatting>
  <conditionalFormatting sqref="K19">
    <cfRule type="expression" dxfId="14318" priority="538">
      <formula>$C19=$E$3</formula>
    </cfRule>
    <cfRule type="expression" dxfId="14317" priority="539">
      <formula>$C19&lt;$E$3</formula>
    </cfRule>
    <cfRule type="cellIs" dxfId="14316" priority="540" operator="equal">
      <formula>0</formula>
    </cfRule>
    <cfRule type="expression" dxfId="14315" priority="541">
      <formula>$C19&gt;$E$3</formula>
    </cfRule>
  </conditionalFormatting>
  <conditionalFormatting sqref="K19">
    <cfRule type="expression" dxfId="14314" priority="537">
      <formula>$C19&lt;$E$3</formula>
    </cfRule>
  </conditionalFormatting>
  <conditionalFormatting sqref="K19">
    <cfRule type="expression" dxfId="14313" priority="533">
      <formula>$C19=$E$3</formula>
    </cfRule>
    <cfRule type="expression" dxfId="14312" priority="534">
      <formula>$C19&lt;$E$3</formula>
    </cfRule>
    <cfRule type="cellIs" dxfId="14311" priority="535" operator="equal">
      <formula>0</formula>
    </cfRule>
    <cfRule type="expression" dxfId="14310" priority="536">
      <formula>$C19&gt;$E$3</formula>
    </cfRule>
  </conditionalFormatting>
  <conditionalFormatting sqref="K19">
    <cfRule type="expression" dxfId="14309" priority="532">
      <formula>$C19&lt;$E$3</formula>
    </cfRule>
  </conditionalFormatting>
  <conditionalFormatting sqref="K19">
    <cfRule type="expression" dxfId="14308" priority="528">
      <formula>$C19=$E$3</formula>
    </cfRule>
    <cfRule type="expression" dxfId="14307" priority="529">
      <formula>$C19&lt;$E$3</formula>
    </cfRule>
    <cfRule type="cellIs" dxfId="14306" priority="530" operator="equal">
      <formula>0</formula>
    </cfRule>
    <cfRule type="expression" dxfId="14305" priority="531">
      <formula>$C19&gt;$E$3</formula>
    </cfRule>
  </conditionalFormatting>
  <conditionalFormatting sqref="K19">
    <cfRule type="expression" dxfId="14304" priority="527">
      <formula>$E19=""</formula>
    </cfRule>
  </conditionalFormatting>
  <conditionalFormatting sqref="K19">
    <cfRule type="expression" dxfId="14303" priority="526">
      <formula>$C19&lt;$E$3</formula>
    </cfRule>
  </conditionalFormatting>
  <conditionalFormatting sqref="K19">
    <cfRule type="expression" dxfId="14302" priority="525">
      <formula>$E19=""</formula>
    </cfRule>
  </conditionalFormatting>
  <conditionalFormatting sqref="K19">
    <cfRule type="expression" dxfId="14301" priority="524">
      <formula>$E19=""</formula>
    </cfRule>
  </conditionalFormatting>
  <conditionalFormatting sqref="K19">
    <cfRule type="expression" dxfId="14300" priority="523">
      <formula>$C19&lt;$E$3</formula>
    </cfRule>
  </conditionalFormatting>
  <conditionalFormatting sqref="K19">
    <cfRule type="expression" dxfId="14299" priority="522">
      <formula>$E19=""</formula>
    </cfRule>
  </conditionalFormatting>
  <conditionalFormatting sqref="K19">
    <cfRule type="expression" dxfId="14298" priority="521">
      <formula>$C19&lt;$E$3</formula>
    </cfRule>
  </conditionalFormatting>
  <conditionalFormatting sqref="K19">
    <cfRule type="expression" dxfId="14297" priority="520">
      <formula>$E19=""</formula>
    </cfRule>
  </conditionalFormatting>
  <conditionalFormatting sqref="K19">
    <cfRule type="expression" dxfId="14296" priority="518">
      <formula>$E19=""</formula>
    </cfRule>
  </conditionalFormatting>
  <conditionalFormatting sqref="K19">
    <cfRule type="expression" dxfId="14295" priority="513">
      <formula>$C19=$E$3</formula>
    </cfRule>
    <cfRule type="expression" dxfId="14294" priority="514">
      <formula>$C19&lt;$E$3</formula>
    </cfRule>
    <cfRule type="cellIs" dxfId="14293" priority="515" operator="equal">
      <formula>0</formula>
    </cfRule>
    <cfRule type="expression" dxfId="14292" priority="516">
      <formula>$C19&gt;$E$3</formula>
    </cfRule>
  </conditionalFormatting>
  <conditionalFormatting sqref="K19">
    <cfRule type="expression" dxfId="14291" priority="512">
      <formula>$C19&lt;$E$3</formula>
    </cfRule>
  </conditionalFormatting>
  <conditionalFormatting sqref="K19">
    <cfRule type="expression" dxfId="14290" priority="508">
      <formula>$C19=$E$3</formula>
    </cfRule>
    <cfRule type="expression" dxfId="14289" priority="509">
      <formula>$C19&lt;$E$3</formula>
    </cfRule>
    <cfRule type="cellIs" dxfId="14288" priority="510" operator="equal">
      <formula>0</formula>
    </cfRule>
    <cfRule type="expression" dxfId="14287" priority="511">
      <formula>$C19&gt;$E$3</formula>
    </cfRule>
  </conditionalFormatting>
  <conditionalFormatting sqref="K19">
    <cfRule type="expression" dxfId="14286" priority="507">
      <formula>$C19&lt;$E$3</formula>
    </cfRule>
  </conditionalFormatting>
  <conditionalFormatting sqref="K19">
    <cfRule type="expression" dxfId="14285" priority="503">
      <formula>$C19=$E$3</formula>
    </cfRule>
    <cfRule type="expression" dxfId="14284" priority="504">
      <formula>$C19&lt;$E$3</formula>
    </cfRule>
    <cfRule type="cellIs" dxfId="14283" priority="505" operator="equal">
      <formula>0</formula>
    </cfRule>
    <cfRule type="expression" dxfId="14282" priority="506">
      <formula>$C19&gt;$E$3</formula>
    </cfRule>
  </conditionalFormatting>
  <conditionalFormatting sqref="K19">
    <cfRule type="expression" dxfId="14281" priority="502">
      <formula>$C19&lt;$E$3</formula>
    </cfRule>
  </conditionalFormatting>
  <conditionalFormatting sqref="K19">
    <cfRule type="expression" dxfId="14280" priority="498">
      <formula>$C19=$E$3</formula>
    </cfRule>
    <cfRule type="expression" dxfId="14279" priority="499">
      <formula>$C19&lt;$E$3</formula>
    </cfRule>
    <cfRule type="cellIs" dxfId="14278" priority="500" operator="equal">
      <formula>0</formula>
    </cfRule>
    <cfRule type="expression" dxfId="14277" priority="501">
      <formula>$C19&gt;$E$3</formula>
    </cfRule>
  </conditionalFormatting>
  <conditionalFormatting sqref="K19">
    <cfRule type="expression" dxfId="14276" priority="497">
      <formula>$E19=""</formula>
    </cfRule>
  </conditionalFormatting>
  <conditionalFormatting sqref="K19">
    <cfRule type="expression" dxfId="14275" priority="496">
      <formula>$C19&lt;$E$3</formula>
    </cfRule>
  </conditionalFormatting>
  <conditionalFormatting sqref="K19">
    <cfRule type="expression" dxfId="14274" priority="495">
      <formula>$E19=""</formula>
    </cfRule>
  </conditionalFormatting>
  <conditionalFormatting sqref="K19">
    <cfRule type="expression" dxfId="14273" priority="494">
      <formula>$E19=""</formula>
    </cfRule>
  </conditionalFormatting>
  <conditionalFormatting sqref="K19">
    <cfRule type="expression" dxfId="14272" priority="493">
      <formula>$C19&lt;$E$3</formula>
    </cfRule>
  </conditionalFormatting>
  <conditionalFormatting sqref="K19">
    <cfRule type="expression" dxfId="14271" priority="492">
      <formula>$E19=""</formula>
    </cfRule>
  </conditionalFormatting>
  <conditionalFormatting sqref="K19">
    <cfRule type="expression" dxfId="14270" priority="491">
      <formula>$C19&lt;$E$3</formula>
    </cfRule>
  </conditionalFormatting>
  <conditionalFormatting sqref="K19">
    <cfRule type="expression" dxfId="14269" priority="490">
      <formula>$E19=""</formula>
    </cfRule>
  </conditionalFormatting>
  <conditionalFormatting sqref="K19">
    <cfRule type="expression" dxfId="14268" priority="488">
      <formula>$E19=""</formula>
    </cfRule>
  </conditionalFormatting>
  <conditionalFormatting sqref="K14:K18">
    <cfRule type="expression" dxfId="14267" priority="483">
      <formula>$C14=$E$3</formula>
    </cfRule>
    <cfRule type="expression" dxfId="14266" priority="484">
      <formula>$C14&lt;$E$3</formula>
    </cfRule>
    <cfRule type="cellIs" dxfId="14265" priority="485" operator="equal">
      <formula>0</formula>
    </cfRule>
    <cfRule type="expression" dxfId="14264" priority="486">
      <formula>$C14&gt;$E$3</formula>
    </cfRule>
  </conditionalFormatting>
  <conditionalFormatting sqref="K14:K18">
    <cfRule type="expression" dxfId="14263" priority="482">
      <formula>$C14&lt;$E$3</formula>
    </cfRule>
  </conditionalFormatting>
  <conditionalFormatting sqref="K14:K18">
    <cfRule type="expression" dxfId="14262" priority="478">
      <formula>$C14=$E$3</formula>
    </cfRule>
    <cfRule type="expression" dxfId="14261" priority="479">
      <formula>$C14&lt;$E$3</formula>
    </cfRule>
    <cfRule type="cellIs" dxfId="14260" priority="480" operator="equal">
      <formula>0</formula>
    </cfRule>
    <cfRule type="expression" dxfId="14259" priority="481">
      <formula>$C14&gt;$E$3</formula>
    </cfRule>
  </conditionalFormatting>
  <conditionalFormatting sqref="K14:K18">
    <cfRule type="expression" dxfId="14258" priority="477">
      <formula>$C14&lt;$E$3</formula>
    </cfRule>
  </conditionalFormatting>
  <conditionalFormatting sqref="K14:K18">
    <cfRule type="expression" dxfId="14257" priority="473">
      <formula>$C14=$E$3</formula>
    </cfRule>
    <cfRule type="expression" dxfId="14256" priority="474">
      <formula>$C14&lt;$E$3</formula>
    </cfRule>
    <cfRule type="cellIs" dxfId="14255" priority="475" operator="equal">
      <formula>0</formula>
    </cfRule>
    <cfRule type="expression" dxfId="14254" priority="476">
      <formula>$C14&gt;$E$3</formula>
    </cfRule>
  </conditionalFormatting>
  <conditionalFormatting sqref="K14:K18">
    <cfRule type="expression" dxfId="14253" priority="472">
      <formula>$C14&lt;$E$3</formula>
    </cfRule>
  </conditionalFormatting>
  <conditionalFormatting sqref="K14:K18">
    <cfRule type="expression" dxfId="14252" priority="468">
      <formula>$C14=$E$3</formula>
    </cfRule>
    <cfRule type="expression" dxfId="14251" priority="469">
      <formula>$C14&lt;$E$3</formula>
    </cfRule>
    <cfRule type="cellIs" dxfId="14250" priority="470" operator="equal">
      <formula>0</formula>
    </cfRule>
    <cfRule type="expression" dxfId="14249" priority="471">
      <formula>$C14&gt;$E$3</formula>
    </cfRule>
  </conditionalFormatting>
  <conditionalFormatting sqref="K14:K18">
    <cfRule type="expression" dxfId="14248" priority="467">
      <formula>$E14=""</formula>
    </cfRule>
  </conditionalFormatting>
  <conditionalFormatting sqref="K14:K18">
    <cfRule type="expression" dxfId="14247" priority="466">
      <formula>$C14&lt;$E$3</formula>
    </cfRule>
  </conditionalFormatting>
  <conditionalFormatting sqref="K14:K18">
    <cfRule type="expression" dxfId="14246" priority="465">
      <formula>$E14=""</formula>
    </cfRule>
  </conditionalFormatting>
  <conditionalFormatting sqref="K14:K18">
    <cfRule type="expression" dxfId="14245" priority="464">
      <formula>$E14=""</formula>
    </cfRule>
  </conditionalFormatting>
  <conditionalFormatting sqref="K14:K18">
    <cfRule type="expression" dxfId="14244" priority="463">
      <formula>$C14&lt;$E$3</formula>
    </cfRule>
  </conditionalFormatting>
  <conditionalFormatting sqref="K14:K18">
    <cfRule type="expression" dxfId="14243" priority="462">
      <formula>$E14=""</formula>
    </cfRule>
  </conditionalFormatting>
  <conditionalFormatting sqref="K14:K18">
    <cfRule type="expression" dxfId="14242" priority="461">
      <formula>$C14&lt;$E$3</formula>
    </cfRule>
  </conditionalFormatting>
  <conditionalFormatting sqref="K14:K18">
    <cfRule type="expression" dxfId="14241" priority="460">
      <formula>$E14=""</formula>
    </cfRule>
  </conditionalFormatting>
  <conditionalFormatting sqref="K14:K18">
    <cfRule type="expression" dxfId="14240" priority="458">
      <formula>$E14=""</formula>
    </cfRule>
  </conditionalFormatting>
  <conditionalFormatting sqref="K14:K18">
    <cfRule type="expression" dxfId="14239" priority="453">
      <formula>$C14=$E$3</formula>
    </cfRule>
    <cfRule type="expression" dxfId="14238" priority="454">
      <formula>$C14&lt;$E$3</formula>
    </cfRule>
    <cfRule type="cellIs" dxfId="14237" priority="455" operator="equal">
      <formula>0</formula>
    </cfRule>
    <cfRule type="expression" dxfId="14236" priority="456">
      <formula>$C14&gt;$E$3</formula>
    </cfRule>
  </conditionalFormatting>
  <conditionalFormatting sqref="K14:K18">
    <cfRule type="expression" dxfId="14235" priority="452">
      <formula>$C14&lt;$E$3</formula>
    </cfRule>
  </conditionalFormatting>
  <conditionalFormatting sqref="K14:K18">
    <cfRule type="expression" dxfId="14234" priority="448">
      <formula>$C14=$E$3</formula>
    </cfRule>
    <cfRule type="expression" dxfId="14233" priority="449">
      <formula>$C14&lt;$E$3</formula>
    </cfRule>
    <cfRule type="cellIs" dxfId="14232" priority="450" operator="equal">
      <formula>0</formula>
    </cfRule>
    <cfRule type="expression" dxfId="14231" priority="451">
      <formula>$C14&gt;$E$3</formula>
    </cfRule>
  </conditionalFormatting>
  <conditionalFormatting sqref="K14:K18">
    <cfRule type="expression" dxfId="14230" priority="447">
      <formula>$C14&lt;$E$3</formula>
    </cfRule>
  </conditionalFormatting>
  <conditionalFormatting sqref="K14:K18">
    <cfRule type="expression" dxfId="14229" priority="443">
      <formula>$C14=$E$3</formula>
    </cfRule>
    <cfRule type="expression" dxfId="14228" priority="444">
      <formula>$C14&lt;$E$3</formula>
    </cfRule>
    <cfRule type="cellIs" dxfId="14227" priority="445" operator="equal">
      <formula>0</formula>
    </cfRule>
    <cfRule type="expression" dxfId="14226" priority="446">
      <formula>$C14&gt;$E$3</formula>
    </cfRule>
  </conditionalFormatting>
  <conditionalFormatting sqref="K14:K18">
    <cfRule type="expression" dxfId="14225" priority="442">
      <formula>$C14&lt;$E$3</formula>
    </cfRule>
  </conditionalFormatting>
  <conditionalFormatting sqref="K14:K18">
    <cfRule type="expression" dxfId="14224" priority="438">
      <formula>$C14=$E$3</formula>
    </cfRule>
    <cfRule type="expression" dxfId="14223" priority="439">
      <formula>$C14&lt;$E$3</formula>
    </cfRule>
    <cfRule type="cellIs" dxfId="14222" priority="440" operator="equal">
      <formula>0</formula>
    </cfRule>
    <cfRule type="expression" dxfId="14221" priority="441">
      <formula>$C14&gt;$E$3</formula>
    </cfRule>
  </conditionalFormatting>
  <conditionalFormatting sqref="K14:K18">
    <cfRule type="expression" dxfId="14220" priority="437">
      <formula>$E14=""</formula>
    </cfRule>
  </conditionalFormatting>
  <conditionalFormatting sqref="K14:K18">
    <cfRule type="expression" dxfId="14219" priority="436">
      <formula>$C14&lt;$E$3</formula>
    </cfRule>
  </conditionalFormatting>
  <conditionalFormatting sqref="K14:K18">
    <cfRule type="expression" dxfId="14218" priority="435">
      <formula>$E14=""</formula>
    </cfRule>
  </conditionalFormatting>
  <conditionalFormatting sqref="K14:K18">
    <cfRule type="expression" dxfId="14217" priority="434">
      <formula>$E14=""</formula>
    </cfRule>
  </conditionalFormatting>
  <conditionalFormatting sqref="K14:K18">
    <cfRule type="expression" dxfId="14216" priority="433">
      <formula>$C14&lt;$E$3</formula>
    </cfRule>
  </conditionalFormatting>
  <conditionalFormatting sqref="K14:K18">
    <cfRule type="expression" dxfId="14215" priority="432">
      <formula>$E14=""</formula>
    </cfRule>
  </conditionalFormatting>
  <conditionalFormatting sqref="K14:K18">
    <cfRule type="expression" dxfId="14214" priority="431">
      <formula>$C14&lt;$E$3</formula>
    </cfRule>
  </conditionalFormatting>
  <conditionalFormatting sqref="K14:K18">
    <cfRule type="expression" dxfId="14213" priority="430">
      <formula>$E14=""</formula>
    </cfRule>
  </conditionalFormatting>
  <conditionalFormatting sqref="K14:K18">
    <cfRule type="expression" dxfId="14212" priority="428">
      <formula>$E14=""</formula>
    </cfRule>
  </conditionalFormatting>
  <conditionalFormatting sqref="K14:K20">
    <cfRule type="expression" dxfId="14211" priority="426">
      <formula>$C14&lt;$E$3</formula>
    </cfRule>
  </conditionalFormatting>
  <conditionalFormatting sqref="K14:K20">
    <cfRule type="expression" dxfId="14210" priority="423">
      <formula>$C14=$E$3</formula>
    </cfRule>
    <cfRule type="expression" dxfId="14209" priority="424">
      <formula>$C14&lt;$E$3</formula>
    </cfRule>
    <cfRule type="cellIs" dxfId="14208" priority="425" operator="equal">
      <formula>0</formula>
    </cfRule>
    <cfRule type="expression" dxfId="14207" priority="427">
      <formula>$C14&gt;$E$3</formula>
    </cfRule>
  </conditionalFormatting>
  <conditionalFormatting sqref="K14:K20">
    <cfRule type="expression" dxfId="14206" priority="422">
      <formula>$E14=""</formula>
    </cfRule>
  </conditionalFormatting>
  <conditionalFormatting sqref="K14:K20">
    <cfRule type="expression" dxfId="14205" priority="421">
      <formula>$E14=""</formula>
    </cfRule>
  </conditionalFormatting>
  <conditionalFormatting sqref="K14:K20">
    <cfRule type="expression" dxfId="14204" priority="420">
      <formula>$E14=""</formula>
    </cfRule>
  </conditionalFormatting>
  <conditionalFormatting sqref="K23:K29">
    <cfRule type="cellIs" dxfId="14203" priority="419" stopIfTrue="1" operator="lessThan">
      <formula>0</formula>
    </cfRule>
  </conditionalFormatting>
  <conditionalFormatting sqref="K23:K29">
    <cfRule type="expression" dxfId="14202" priority="417">
      <formula>$C23&lt;$E$3</formula>
    </cfRule>
  </conditionalFormatting>
  <conditionalFormatting sqref="K23:K29">
    <cfRule type="expression" dxfId="14201" priority="414">
      <formula>$C23=$E$3</formula>
    </cfRule>
    <cfRule type="expression" dxfId="14200" priority="415">
      <formula>$C23&lt;$E$3</formula>
    </cfRule>
    <cfRule type="cellIs" dxfId="14199" priority="416" operator="equal">
      <formula>0</formula>
    </cfRule>
    <cfRule type="expression" dxfId="14198" priority="418">
      <formula>$C23&gt;$E$3</formula>
    </cfRule>
  </conditionalFormatting>
  <conditionalFormatting sqref="K23:K29">
    <cfRule type="expression" dxfId="14197" priority="413">
      <formula>$E23=""</formula>
    </cfRule>
  </conditionalFormatting>
  <conditionalFormatting sqref="K23:K29">
    <cfRule type="expression" dxfId="14196" priority="412">
      <formula>$E23=""</formula>
    </cfRule>
  </conditionalFormatting>
  <conditionalFormatting sqref="K23:K29">
    <cfRule type="expression" dxfId="14195" priority="411">
      <formula>$E23=""</formula>
    </cfRule>
  </conditionalFormatting>
  <conditionalFormatting sqref="K28">
    <cfRule type="expression" dxfId="14194" priority="410">
      <formula>$C28&lt;$E$3</formula>
    </cfRule>
  </conditionalFormatting>
  <conditionalFormatting sqref="K28">
    <cfRule type="expression" dxfId="14193" priority="406">
      <formula>$C28=$E$3</formula>
    </cfRule>
    <cfRule type="expression" dxfId="14192" priority="407">
      <formula>$C28&lt;$E$3</formula>
    </cfRule>
    <cfRule type="cellIs" dxfId="14191" priority="408" operator="equal">
      <formula>0</formula>
    </cfRule>
    <cfRule type="expression" dxfId="14190" priority="409">
      <formula>$C28&gt;$E$3</formula>
    </cfRule>
  </conditionalFormatting>
  <conditionalFormatting sqref="K28">
    <cfRule type="expression" dxfId="14189" priority="405">
      <formula>$C28&lt;$E$3</formula>
    </cfRule>
  </conditionalFormatting>
  <conditionalFormatting sqref="K28">
    <cfRule type="expression" dxfId="14188" priority="401">
      <formula>$C28=$E$3</formula>
    </cfRule>
    <cfRule type="expression" dxfId="14187" priority="402">
      <formula>$C28&lt;$E$3</formula>
    </cfRule>
    <cfRule type="cellIs" dxfId="14186" priority="403" operator="equal">
      <formula>0</formula>
    </cfRule>
    <cfRule type="expression" dxfId="14185" priority="404">
      <formula>$C28&gt;$E$3</formula>
    </cfRule>
  </conditionalFormatting>
  <conditionalFormatting sqref="K28">
    <cfRule type="expression" dxfId="14184" priority="400">
      <formula>$C28&lt;$E$3</formula>
    </cfRule>
  </conditionalFormatting>
  <conditionalFormatting sqref="K28">
    <cfRule type="expression" dxfId="14183" priority="396">
      <formula>$C28=$E$3</formula>
    </cfRule>
    <cfRule type="expression" dxfId="14182" priority="397">
      <formula>$C28&lt;$E$3</formula>
    </cfRule>
    <cfRule type="cellIs" dxfId="14181" priority="398" operator="equal">
      <formula>0</formula>
    </cfRule>
    <cfRule type="expression" dxfId="14180" priority="399">
      <formula>$C28&gt;$E$3</formula>
    </cfRule>
  </conditionalFormatting>
  <conditionalFormatting sqref="K28">
    <cfRule type="expression" dxfId="14179" priority="395">
      <formula>$C28&lt;$E$3</formula>
    </cfRule>
  </conditionalFormatting>
  <conditionalFormatting sqref="K28">
    <cfRule type="expression" dxfId="14178" priority="391">
      <formula>$C28=$E$3</formula>
    </cfRule>
    <cfRule type="expression" dxfId="14177" priority="392">
      <formula>$C28&lt;$E$3</formula>
    </cfRule>
    <cfRule type="cellIs" dxfId="14176" priority="393" operator="equal">
      <formula>0</formula>
    </cfRule>
    <cfRule type="expression" dxfId="14175" priority="394">
      <formula>$C28&gt;$E$3</formula>
    </cfRule>
  </conditionalFormatting>
  <conditionalFormatting sqref="K28">
    <cfRule type="expression" dxfId="14174" priority="390">
      <formula>$E28=""</formula>
    </cfRule>
  </conditionalFormatting>
  <conditionalFormatting sqref="K28">
    <cfRule type="expression" dxfId="14173" priority="389">
      <formula>$C28&lt;$E$3</formula>
    </cfRule>
  </conditionalFormatting>
  <conditionalFormatting sqref="K28">
    <cfRule type="expression" dxfId="14172" priority="388">
      <formula>$E28=""</formula>
    </cfRule>
  </conditionalFormatting>
  <conditionalFormatting sqref="K28">
    <cfRule type="expression" dxfId="14171" priority="387">
      <formula>$E28=""</formula>
    </cfRule>
  </conditionalFormatting>
  <conditionalFormatting sqref="K28">
    <cfRule type="expression" dxfId="14170" priority="386">
      <formula>$C28&lt;$E$3</formula>
    </cfRule>
  </conditionalFormatting>
  <conditionalFormatting sqref="K28">
    <cfRule type="expression" dxfId="14169" priority="385">
      <formula>$E28=""</formula>
    </cfRule>
  </conditionalFormatting>
  <conditionalFormatting sqref="K28">
    <cfRule type="expression" dxfId="14168" priority="384">
      <formula>$C28&lt;$E$3</formula>
    </cfRule>
  </conditionalFormatting>
  <conditionalFormatting sqref="K28">
    <cfRule type="expression" dxfId="14167" priority="383">
      <formula>$E28=""</formula>
    </cfRule>
  </conditionalFormatting>
  <conditionalFormatting sqref="K28">
    <cfRule type="expression" dxfId="14166" priority="381">
      <formula>$E28=""</formula>
    </cfRule>
  </conditionalFormatting>
  <conditionalFormatting sqref="K28">
    <cfRule type="expression" dxfId="14165" priority="376">
      <formula>$C28=$E$3</formula>
    </cfRule>
    <cfRule type="expression" dxfId="14164" priority="377">
      <formula>$C28&lt;$E$3</formula>
    </cfRule>
    <cfRule type="cellIs" dxfId="14163" priority="378" operator="equal">
      <formula>0</formula>
    </cfRule>
    <cfRule type="expression" dxfId="14162" priority="379">
      <formula>$C28&gt;$E$3</formula>
    </cfRule>
  </conditionalFormatting>
  <conditionalFormatting sqref="K28">
    <cfRule type="expression" dxfId="14161" priority="375">
      <formula>$C28&lt;$E$3</formula>
    </cfRule>
  </conditionalFormatting>
  <conditionalFormatting sqref="K28">
    <cfRule type="expression" dxfId="14160" priority="371">
      <formula>$C28=$E$3</formula>
    </cfRule>
    <cfRule type="expression" dxfId="14159" priority="372">
      <formula>$C28&lt;$E$3</formula>
    </cfRule>
    <cfRule type="cellIs" dxfId="14158" priority="373" operator="equal">
      <formula>0</formula>
    </cfRule>
    <cfRule type="expression" dxfId="14157" priority="374">
      <formula>$C28&gt;$E$3</formula>
    </cfRule>
  </conditionalFormatting>
  <conditionalFormatting sqref="K28">
    <cfRule type="expression" dxfId="14156" priority="370">
      <formula>$C28&lt;$E$3</formula>
    </cfRule>
  </conditionalFormatting>
  <conditionalFormatting sqref="K28">
    <cfRule type="expression" dxfId="14155" priority="366">
      <formula>$C28=$E$3</formula>
    </cfRule>
    <cfRule type="expression" dxfId="14154" priority="367">
      <formula>$C28&lt;$E$3</formula>
    </cfRule>
    <cfRule type="cellIs" dxfId="14153" priority="368" operator="equal">
      <formula>0</formula>
    </cfRule>
    <cfRule type="expression" dxfId="14152" priority="369">
      <formula>$C28&gt;$E$3</formula>
    </cfRule>
  </conditionalFormatting>
  <conditionalFormatting sqref="K28">
    <cfRule type="expression" dxfId="14151" priority="365">
      <formula>$C28&lt;$E$3</formula>
    </cfRule>
  </conditionalFormatting>
  <conditionalFormatting sqref="K28">
    <cfRule type="expression" dxfId="14150" priority="361">
      <formula>$C28=$E$3</formula>
    </cfRule>
    <cfRule type="expression" dxfId="14149" priority="362">
      <formula>$C28&lt;$E$3</formula>
    </cfRule>
    <cfRule type="cellIs" dxfId="14148" priority="363" operator="equal">
      <formula>0</formula>
    </cfRule>
    <cfRule type="expression" dxfId="14147" priority="364">
      <formula>$C28&gt;$E$3</formula>
    </cfRule>
  </conditionalFormatting>
  <conditionalFormatting sqref="K28">
    <cfRule type="expression" dxfId="14146" priority="360">
      <formula>$E28=""</formula>
    </cfRule>
  </conditionalFormatting>
  <conditionalFormatting sqref="K28">
    <cfRule type="expression" dxfId="14145" priority="359">
      <formula>$C28&lt;$E$3</formula>
    </cfRule>
  </conditionalFormatting>
  <conditionalFormatting sqref="K28">
    <cfRule type="expression" dxfId="14144" priority="358">
      <formula>$E28=""</formula>
    </cfRule>
  </conditionalFormatting>
  <conditionalFormatting sqref="K28">
    <cfRule type="expression" dxfId="14143" priority="357">
      <formula>$E28=""</formula>
    </cfRule>
  </conditionalFormatting>
  <conditionalFormatting sqref="K28">
    <cfRule type="expression" dxfId="14142" priority="356">
      <formula>$C28&lt;$E$3</formula>
    </cfRule>
  </conditionalFormatting>
  <conditionalFormatting sqref="K28">
    <cfRule type="expression" dxfId="14141" priority="355">
      <formula>$E28=""</formula>
    </cfRule>
  </conditionalFormatting>
  <conditionalFormatting sqref="K28">
    <cfRule type="expression" dxfId="14140" priority="354">
      <formula>$C28&lt;$E$3</formula>
    </cfRule>
  </conditionalFormatting>
  <conditionalFormatting sqref="K28">
    <cfRule type="expression" dxfId="14139" priority="353">
      <formula>$E28=""</formula>
    </cfRule>
  </conditionalFormatting>
  <conditionalFormatting sqref="K28">
    <cfRule type="expression" dxfId="14138" priority="351">
      <formula>$E28=""</formula>
    </cfRule>
  </conditionalFormatting>
  <conditionalFormatting sqref="K23:K27">
    <cfRule type="expression" dxfId="14137" priority="346">
      <formula>$C23=$E$3</formula>
    </cfRule>
    <cfRule type="expression" dxfId="14136" priority="347">
      <formula>$C23&lt;$E$3</formula>
    </cfRule>
    <cfRule type="cellIs" dxfId="14135" priority="348" operator="equal">
      <formula>0</formula>
    </cfRule>
    <cfRule type="expression" dxfId="14134" priority="349">
      <formula>$C23&gt;$E$3</formula>
    </cfRule>
  </conditionalFormatting>
  <conditionalFormatting sqref="K23:K27">
    <cfRule type="expression" dxfId="14133" priority="345">
      <formula>$C23&lt;$E$3</formula>
    </cfRule>
  </conditionalFormatting>
  <conditionalFormatting sqref="K23:K27">
    <cfRule type="expression" dxfId="14132" priority="341">
      <formula>$C23=$E$3</formula>
    </cfRule>
    <cfRule type="expression" dxfId="14131" priority="342">
      <formula>$C23&lt;$E$3</formula>
    </cfRule>
    <cfRule type="cellIs" dxfId="14130" priority="343" operator="equal">
      <formula>0</formula>
    </cfRule>
    <cfRule type="expression" dxfId="14129" priority="344">
      <formula>$C23&gt;$E$3</formula>
    </cfRule>
  </conditionalFormatting>
  <conditionalFormatting sqref="K23:K27">
    <cfRule type="expression" dxfId="14128" priority="340">
      <formula>$C23&lt;$E$3</formula>
    </cfRule>
  </conditionalFormatting>
  <conditionalFormatting sqref="K23:K27">
    <cfRule type="expression" dxfId="14127" priority="336">
      <formula>$C23=$E$3</formula>
    </cfRule>
    <cfRule type="expression" dxfId="14126" priority="337">
      <formula>$C23&lt;$E$3</formula>
    </cfRule>
    <cfRule type="cellIs" dxfId="14125" priority="338" operator="equal">
      <formula>0</formula>
    </cfRule>
    <cfRule type="expression" dxfId="14124" priority="339">
      <formula>$C23&gt;$E$3</formula>
    </cfRule>
  </conditionalFormatting>
  <conditionalFormatting sqref="K23:K27">
    <cfRule type="expression" dxfId="14123" priority="335">
      <formula>$C23&lt;$E$3</formula>
    </cfRule>
  </conditionalFormatting>
  <conditionalFormatting sqref="K23:K27">
    <cfRule type="expression" dxfId="14122" priority="331">
      <formula>$C23=$E$3</formula>
    </cfRule>
    <cfRule type="expression" dxfId="14121" priority="332">
      <formula>$C23&lt;$E$3</formula>
    </cfRule>
    <cfRule type="cellIs" dxfId="14120" priority="333" operator="equal">
      <formula>0</formula>
    </cfRule>
    <cfRule type="expression" dxfId="14119" priority="334">
      <formula>$C23&gt;$E$3</formula>
    </cfRule>
  </conditionalFormatting>
  <conditionalFormatting sqref="K23:K27">
    <cfRule type="expression" dxfId="14118" priority="330">
      <formula>$E23=""</formula>
    </cfRule>
  </conditionalFormatting>
  <conditionalFormatting sqref="K23:K27">
    <cfRule type="expression" dxfId="14117" priority="329">
      <formula>$C23&lt;$E$3</formula>
    </cfRule>
  </conditionalFormatting>
  <conditionalFormatting sqref="K23:K27">
    <cfRule type="expression" dxfId="14116" priority="328">
      <formula>$E23=""</formula>
    </cfRule>
  </conditionalFormatting>
  <conditionalFormatting sqref="K23:K27">
    <cfRule type="expression" dxfId="14115" priority="327">
      <formula>$E23=""</formula>
    </cfRule>
  </conditionalFormatting>
  <conditionalFormatting sqref="K23:K27">
    <cfRule type="expression" dxfId="14114" priority="326">
      <formula>$C23&lt;$E$3</formula>
    </cfRule>
  </conditionalFormatting>
  <conditionalFormatting sqref="K23:K27">
    <cfRule type="expression" dxfId="14113" priority="325">
      <formula>$E23=""</formula>
    </cfRule>
  </conditionalFormatting>
  <conditionalFormatting sqref="K23:K27">
    <cfRule type="expression" dxfId="14112" priority="324">
      <formula>$C23&lt;$E$3</formula>
    </cfRule>
  </conditionalFormatting>
  <conditionalFormatting sqref="K23:K27">
    <cfRule type="expression" dxfId="14111" priority="323">
      <formula>$E23=""</formula>
    </cfRule>
  </conditionalFormatting>
  <conditionalFormatting sqref="K23:K27">
    <cfRule type="expression" dxfId="14110" priority="321">
      <formula>$E23=""</formula>
    </cfRule>
  </conditionalFormatting>
  <conditionalFormatting sqref="K23:K27">
    <cfRule type="expression" dxfId="14109" priority="316">
      <formula>$C23=$E$3</formula>
    </cfRule>
    <cfRule type="expression" dxfId="14108" priority="317">
      <formula>$C23&lt;$E$3</formula>
    </cfRule>
    <cfRule type="cellIs" dxfId="14107" priority="318" operator="equal">
      <formula>0</formula>
    </cfRule>
    <cfRule type="expression" dxfId="14106" priority="319">
      <formula>$C23&gt;$E$3</formula>
    </cfRule>
  </conditionalFormatting>
  <conditionalFormatting sqref="K23:K27">
    <cfRule type="expression" dxfId="14105" priority="315">
      <formula>$C23&lt;$E$3</formula>
    </cfRule>
  </conditionalFormatting>
  <conditionalFormatting sqref="K23:K27">
    <cfRule type="expression" dxfId="14104" priority="311">
      <formula>$C23=$E$3</formula>
    </cfRule>
    <cfRule type="expression" dxfId="14103" priority="312">
      <formula>$C23&lt;$E$3</formula>
    </cfRule>
    <cfRule type="cellIs" dxfId="14102" priority="313" operator="equal">
      <formula>0</formula>
    </cfRule>
    <cfRule type="expression" dxfId="14101" priority="314">
      <formula>$C23&gt;$E$3</formula>
    </cfRule>
  </conditionalFormatting>
  <conditionalFormatting sqref="K23:K27">
    <cfRule type="expression" dxfId="14100" priority="310">
      <formula>$C23&lt;$E$3</formula>
    </cfRule>
  </conditionalFormatting>
  <conditionalFormatting sqref="K23:K27">
    <cfRule type="expression" dxfId="14099" priority="306">
      <formula>$C23=$E$3</formula>
    </cfRule>
    <cfRule type="expression" dxfId="14098" priority="307">
      <formula>$C23&lt;$E$3</formula>
    </cfRule>
    <cfRule type="cellIs" dxfId="14097" priority="308" operator="equal">
      <formula>0</formula>
    </cfRule>
    <cfRule type="expression" dxfId="14096" priority="309">
      <formula>$C23&gt;$E$3</formula>
    </cfRule>
  </conditionalFormatting>
  <conditionalFormatting sqref="K23:K27">
    <cfRule type="expression" dxfId="14095" priority="305">
      <formula>$C23&lt;$E$3</formula>
    </cfRule>
  </conditionalFormatting>
  <conditionalFormatting sqref="K23:K27">
    <cfRule type="expression" dxfId="14094" priority="301">
      <formula>$C23=$E$3</formula>
    </cfRule>
    <cfRule type="expression" dxfId="14093" priority="302">
      <formula>$C23&lt;$E$3</formula>
    </cfRule>
    <cfRule type="cellIs" dxfId="14092" priority="303" operator="equal">
      <formula>0</formula>
    </cfRule>
    <cfRule type="expression" dxfId="14091" priority="304">
      <formula>$C23&gt;$E$3</formula>
    </cfRule>
  </conditionalFormatting>
  <conditionalFormatting sqref="K23:K27">
    <cfRule type="expression" dxfId="14090" priority="300">
      <formula>$E23=""</formula>
    </cfRule>
  </conditionalFormatting>
  <conditionalFormatting sqref="K23:K27">
    <cfRule type="expression" dxfId="14089" priority="299">
      <formula>$C23&lt;$E$3</formula>
    </cfRule>
  </conditionalFormatting>
  <conditionalFormatting sqref="K23:K27">
    <cfRule type="expression" dxfId="14088" priority="298">
      <formula>$E23=""</formula>
    </cfRule>
  </conditionalFormatting>
  <conditionalFormatting sqref="K23:K27">
    <cfRule type="expression" dxfId="14087" priority="297">
      <formula>$E23=""</formula>
    </cfRule>
  </conditionalFormatting>
  <conditionalFormatting sqref="K23:K27">
    <cfRule type="expression" dxfId="14086" priority="296">
      <formula>$C23&lt;$E$3</formula>
    </cfRule>
  </conditionalFormatting>
  <conditionalFormatting sqref="K23:K27">
    <cfRule type="expression" dxfId="14085" priority="295">
      <formula>$E23=""</formula>
    </cfRule>
  </conditionalFormatting>
  <conditionalFormatting sqref="K23:K27">
    <cfRule type="expression" dxfId="14084" priority="294">
      <formula>$C23&lt;$E$3</formula>
    </cfRule>
  </conditionalFormatting>
  <conditionalFormatting sqref="K23:K27">
    <cfRule type="expression" dxfId="14083" priority="293">
      <formula>$E23=""</formula>
    </cfRule>
  </conditionalFormatting>
  <conditionalFormatting sqref="K23:K27">
    <cfRule type="expression" dxfId="14082" priority="291">
      <formula>$E23=""</formula>
    </cfRule>
  </conditionalFormatting>
  <conditionalFormatting sqref="K23:K29">
    <cfRule type="expression" dxfId="14081" priority="289">
      <formula>$C23&lt;$E$3</formula>
    </cfRule>
  </conditionalFormatting>
  <conditionalFormatting sqref="K23:K29">
    <cfRule type="expression" dxfId="14080" priority="286">
      <formula>$C23=$E$3</formula>
    </cfRule>
    <cfRule type="expression" dxfId="14079" priority="287">
      <formula>$C23&lt;$E$3</formula>
    </cfRule>
    <cfRule type="cellIs" dxfId="14078" priority="288" operator="equal">
      <formula>0</formula>
    </cfRule>
    <cfRule type="expression" dxfId="14077" priority="290">
      <formula>$C23&gt;$E$3</formula>
    </cfRule>
  </conditionalFormatting>
  <conditionalFormatting sqref="K23:K29">
    <cfRule type="expression" dxfId="14076" priority="285">
      <formula>$E23=""</formula>
    </cfRule>
  </conditionalFormatting>
  <conditionalFormatting sqref="K23:K29">
    <cfRule type="expression" dxfId="14075" priority="284">
      <formula>$E23=""</formula>
    </cfRule>
  </conditionalFormatting>
  <conditionalFormatting sqref="K23:K29">
    <cfRule type="expression" dxfId="14074" priority="283">
      <formula>$E23=""</formula>
    </cfRule>
  </conditionalFormatting>
  <conditionalFormatting sqref="K32:K38">
    <cfRule type="cellIs" dxfId="14073" priority="282" stopIfTrue="1" operator="lessThan">
      <formula>0</formula>
    </cfRule>
  </conditionalFormatting>
  <conditionalFormatting sqref="K32:K38">
    <cfRule type="expression" dxfId="14072" priority="280">
      <formula>$C32&lt;$E$3</formula>
    </cfRule>
  </conditionalFormatting>
  <conditionalFormatting sqref="K32:K38">
    <cfRule type="expression" dxfId="14071" priority="277">
      <formula>$C32=$E$3</formula>
    </cfRule>
    <cfRule type="expression" dxfId="14070" priority="278">
      <formula>$C32&lt;$E$3</formula>
    </cfRule>
    <cfRule type="cellIs" dxfId="14069" priority="279" operator="equal">
      <formula>0</formula>
    </cfRule>
    <cfRule type="expression" dxfId="14068" priority="281">
      <formula>$C32&gt;$E$3</formula>
    </cfRule>
  </conditionalFormatting>
  <conditionalFormatting sqref="K32:K38">
    <cfRule type="expression" dxfId="14067" priority="276">
      <formula>$E32=""</formula>
    </cfRule>
  </conditionalFormatting>
  <conditionalFormatting sqref="K32:K38">
    <cfRule type="expression" dxfId="14066" priority="275">
      <formula>$E32=""</formula>
    </cfRule>
  </conditionalFormatting>
  <conditionalFormatting sqref="K32:K38">
    <cfRule type="expression" dxfId="14065" priority="274">
      <formula>$E32=""</formula>
    </cfRule>
  </conditionalFormatting>
  <conditionalFormatting sqref="K37">
    <cfRule type="expression" dxfId="14064" priority="273">
      <formula>$C37&lt;$E$3</formula>
    </cfRule>
  </conditionalFormatting>
  <conditionalFormatting sqref="K37">
    <cfRule type="expression" dxfId="14063" priority="269">
      <formula>$C37=$E$3</formula>
    </cfRule>
    <cfRule type="expression" dxfId="14062" priority="270">
      <formula>$C37&lt;$E$3</formula>
    </cfRule>
    <cfRule type="cellIs" dxfId="14061" priority="271" operator="equal">
      <formula>0</formula>
    </cfRule>
    <cfRule type="expression" dxfId="14060" priority="272">
      <formula>$C37&gt;$E$3</formula>
    </cfRule>
  </conditionalFormatting>
  <conditionalFormatting sqref="K37">
    <cfRule type="expression" dxfId="14059" priority="268">
      <formula>$C37&lt;$E$3</formula>
    </cfRule>
  </conditionalFormatting>
  <conditionalFormatting sqref="K37">
    <cfRule type="expression" dxfId="14058" priority="264">
      <formula>$C37=$E$3</formula>
    </cfRule>
    <cfRule type="expression" dxfId="14057" priority="265">
      <formula>$C37&lt;$E$3</formula>
    </cfRule>
    <cfRule type="cellIs" dxfId="14056" priority="266" operator="equal">
      <formula>0</formula>
    </cfRule>
    <cfRule type="expression" dxfId="14055" priority="267">
      <formula>$C37&gt;$E$3</formula>
    </cfRule>
  </conditionalFormatting>
  <conditionalFormatting sqref="K37">
    <cfRule type="expression" dxfId="14054" priority="253">
      <formula>$E37=""</formula>
    </cfRule>
  </conditionalFormatting>
  <conditionalFormatting sqref="K37">
    <cfRule type="expression" dxfId="14053" priority="252">
      <formula>$C37&lt;$E$3</formula>
    </cfRule>
  </conditionalFormatting>
  <conditionalFormatting sqref="K37">
    <cfRule type="expression" dxfId="14052" priority="251">
      <formula>$E37=""</formula>
    </cfRule>
  </conditionalFormatting>
  <conditionalFormatting sqref="K37">
    <cfRule type="expression" dxfId="14051" priority="250">
      <formula>$E37=""</formula>
    </cfRule>
  </conditionalFormatting>
  <conditionalFormatting sqref="K37">
    <cfRule type="expression" dxfId="14050" priority="249">
      <formula>$C37&lt;$E$3</formula>
    </cfRule>
  </conditionalFormatting>
  <conditionalFormatting sqref="K37">
    <cfRule type="expression" dxfId="14049" priority="248">
      <formula>$E37=""</formula>
    </cfRule>
  </conditionalFormatting>
  <conditionalFormatting sqref="K37">
    <cfRule type="expression" dxfId="14048" priority="247">
      <formula>$C37&lt;$E$3</formula>
    </cfRule>
  </conditionalFormatting>
  <conditionalFormatting sqref="K37">
    <cfRule type="expression" dxfId="14047" priority="246">
      <formula>$E37=""</formula>
    </cfRule>
  </conditionalFormatting>
  <conditionalFormatting sqref="K37">
    <cfRule type="expression" dxfId="14046" priority="244">
      <formula>$E37=""</formula>
    </cfRule>
  </conditionalFormatting>
  <conditionalFormatting sqref="K37">
    <cfRule type="expression" dxfId="14045" priority="239">
      <formula>$C37=$E$3</formula>
    </cfRule>
    <cfRule type="expression" dxfId="14044" priority="240">
      <formula>$C37&lt;$E$3</formula>
    </cfRule>
    <cfRule type="cellIs" dxfId="14043" priority="241" operator="equal">
      <formula>0</formula>
    </cfRule>
    <cfRule type="expression" dxfId="14042" priority="242">
      <formula>$C37&gt;$E$3</formula>
    </cfRule>
  </conditionalFormatting>
  <conditionalFormatting sqref="K37">
    <cfRule type="expression" dxfId="14041" priority="238">
      <formula>$C37&lt;$E$3</formula>
    </cfRule>
  </conditionalFormatting>
  <conditionalFormatting sqref="K37">
    <cfRule type="expression" dxfId="14040" priority="234">
      <formula>$C37=$E$3</formula>
    </cfRule>
    <cfRule type="expression" dxfId="14039" priority="235">
      <formula>$C37&lt;$E$3</formula>
    </cfRule>
    <cfRule type="cellIs" dxfId="14038" priority="236" operator="equal">
      <formula>0</formula>
    </cfRule>
    <cfRule type="expression" dxfId="14037" priority="237">
      <formula>$C37&gt;$E$3</formula>
    </cfRule>
  </conditionalFormatting>
  <conditionalFormatting sqref="K37">
    <cfRule type="expression" dxfId="14036" priority="223">
      <formula>$E37=""</formula>
    </cfRule>
  </conditionalFormatting>
  <conditionalFormatting sqref="K37">
    <cfRule type="expression" dxfId="14035" priority="222">
      <formula>$C37&lt;$E$3</formula>
    </cfRule>
  </conditionalFormatting>
  <conditionalFormatting sqref="K37">
    <cfRule type="expression" dxfId="14034" priority="221">
      <formula>$E37=""</formula>
    </cfRule>
  </conditionalFormatting>
  <conditionalFormatting sqref="K37">
    <cfRule type="expression" dxfId="14033" priority="220">
      <formula>$E37=""</formula>
    </cfRule>
  </conditionalFormatting>
  <conditionalFormatting sqref="K37">
    <cfRule type="expression" dxfId="14032" priority="219">
      <formula>$C37&lt;$E$3</formula>
    </cfRule>
  </conditionalFormatting>
  <conditionalFormatting sqref="K37">
    <cfRule type="expression" dxfId="14031" priority="218">
      <formula>$E37=""</formula>
    </cfRule>
  </conditionalFormatting>
  <conditionalFormatting sqref="K37">
    <cfRule type="expression" dxfId="14030" priority="217">
      <formula>$C37&lt;$E$3</formula>
    </cfRule>
  </conditionalFormatting>
  <conditionalFormatting sqref="K37">
    <cfRule type="expression" dxfId="14029" priority="216">
      <formula>$E37=""</formula>
    </cfRule>
  </conditionalFormatting>
  <conditionalFormatting sqref="K37">
    <cfRule type="expression" dxfId="14028" priority="214">
      <formula>$E37=""</formula>
    </cfRule>
  </conditionalFormatting>
  <conditionalFormatting sqref="K32:K36">
    <cfRule type="expression" dxfId="14027" priority="209">
      <formula>$C32=$E$3</formula>
    </cfRule>
    <cfRule type="expression" dxfId="14026" priority="210">
      <formula>$C32&lt;$E$3</formula>
    </cfRule>
    <cfRule type="cellIs" dxfId="14025" priority="211" operator="equal">
      <formula>0</formula>
    </cfRule>
    <cfRule type="expression" dxfId="14024" priority="212">
      <formula>$C32&gt;$E$3</formula>
    </cfRule>
  </conditionalFormatting>
  <conditionalFormatting sqref="K32:K36">
    <cfRule type="expression" dxfId="14023" priority="208">
      <formula>$C32&lt;$E$3</formula>
    </cfRule>
  </conditionalFormatting>
  <conditionalFormatting sqref="K32:K36">
    <cfRule type="expression" dxfId="14022" priority="204">
      <formula>$C32=$E$3</formula>
    </cfRule>
    <cfRule type="expression" dxfId="14021" priority="205">
      <formula>$C32&lt;$E$3</formula>
    </cfRule>
    <cfRule type="cellIs" dxfId="14020" priority="206" operator="equal">
      <formula>0</formula>
    </cfRule>
    <cfRule type="expression" dxfId="14019" priority="207">
      <formula>$C32&gt;$E$3</formula>
    </cfRule>
  </conditionalFormatting>
  <conditionalFormatting sqref="K32:K36">
    <cfRule type="expression" dxfId="14018" priority="193">
      <formula>$E32=""</formula>
    </cfRule>
  </conditionalFormatting>
  <conditionalFormatting sqref="K32:K36">
    <cfRule type="expression" dxfId="14017" priority="192">
      <formula>$C32&lt;$E$3</formula>
    </cfRule>
  </conditionalFormatting>
  <conditionalFormatting sqref="K32:K36">
    <cfRule type="expression" dxfId="14016" priority="191">
      <formula>$E32=""</formula>
    </cfRule>
  </conditionalFormatting>
  <conditionalFormatting sqref="K32:K36">
    <cfRule type="expression" dxfId="14015" priority="190">
      <formula>$E32=""</formula>
    </cfRule>
  </conditionalFormatting>
  <conditionalFormatting sqref="K32:K36">
    <cfRule type="expression" dxfId="14014" priority="189">
      <formula>$C32&lt;$E$3</formula>
    </cfRule>
  </conditionalFormatting>
  <conditionalFormatting sqref="K32:K36">
    <cfRule type="expression" dxfId="14013" priority="188">
      <formula>$E32=""</formula>
    </cfRule>
  </conditionalFormatting>
  <conditionalFormatting sqref="K32:K36">
    <cfRule type="expression" dxfId="14012" priority="187">
      <formula>$C32&lt;$E$3</formula>
    </cfRule>
  </conditionalFormatting>
  <conditionalFormatting sqref="K32:K36">
    <cfRule type="expression" dxfId="14011" priority="186">
      <formula>$E32=""</formula>
    </cfRule>
  </conditionalFormatting>
  <conditionalFormatting sqref="K32:K36">
    <cfRule type="expression" dxfId="14010" priority="184">
      <formula>$E32=""</formula>
    </cfRule>
  </conditionalFormatting>
  <conditionalFormatting sqref="K32:K36">
    <cfRule type="expression" dxfId="14009" priority="179">
      <formula>$C32=$E$3</formula>
    </cfRule>
    <cfRule type="expression" dxfId="14008" priority="180">
      <formula>$C32&lt;$E$3</formula>
    </cfRule>
    <cfRule type="cellIs" dxfId="14007" priority="181" operator="equal">
      <formula>0</formula>
    </cfRule>
    <cfRule type="expression" dxfId="14006" priority="182">
      <formula>$C32&gt;$E$3</formula>
    </cfRule>
  </conditionalFormatting>
  <conditionalFormatting sqref="K32:K36">
    <cfRule type="expression" dxfId="14005" priority="178">
      <formula>$C32&lt;$E$3</formula>
    </cfRule>
  </conditionalFormatting>
  <conditionalFormatting sqref="K32:K36">
    <cfRule type="expression" dxfId="14004" priority="174">
      <formula>$C32=$E$3</formula>
    </cfRule>
    <cfRule type="expression" dxfId="14003" priority="175">
      <formula>$C32&lt;$E$3</formula>
    </cfRule>
    <cfRule type="cellIs" dxfId="14002" priority="176" operator="equal">
      <formula>0</formula>
    </cfRule>
    <cfRule type="expression" dxfId="14001" priority="177">
      <formula>$C32&gt;$E$3</formula>
    </cfRule>
  </conditionalFormatting>
  <conditionalFormatting sqref="K32:K36">
    <cfRule type="expression" dxfId="14000" priority="173">
      <formula>$C32&lt;$E$3</formula>
    </cfRule>
  </conditionalFormatting>
  <conditionalFormatting sqref="K32:K36">
    <cfRule type="expression" dxfId="13999" priority="169">
      <formula>$C32=$E$3</formula>
    </cfRule>
    <cfRule type="expression" dxfId="13998" priority="170">
      <formula>$C32&lt;$E$3</formula>
    </cfRule>
    <cfRule type="cellIs" dxfId="13997" priority="171" operator="equal">
      <formula>0</formula>
    </cfRule>
    <cfRule type="expression" dxfId="13996" priority="172">
      <formula>$C32&gt;$E$3</formula>
    </cfRule>
  </conditionalFormatting>
  <conditionalFormatting sqref="K32:K36">
    <cfRule type="expression" dxfId="13995" priority="168">
      <formula>$C32&lt;$E$3</formula>
    </cfRule>
  </conditionalFormatting>
  <conditionalFormatting sqref="K32:K36">
    <cfRule type="expression" dxfId="13994" priority="164">
      <formula>$C32=$E$3</formula>
    </cfRule>
    <cfRule type="expression" dxfId="13993" priority="165">
      <formula>$C32&lt;$E$3</formula>
    </cfRule>
    <cfRule type="cellIs" dxfId="13992" priority="166" operator="equal">
      <formula>0</formula>
    </cfRule>
    <cfRule type="expression" dxfId="13991" priority="167">
      <formula>$C32&gt;$E$3</formula>
    </cfRule>
  </conditionalFormatting>
  <conditionalFormatting sqref="K32:K36">
    <cfRule type="expression" dxfId="13990" priority="163">
      <formula>$E32=""</formula>
    </cfRule>
  </conditionalFormatting>
  <conditionalFormatting sqref="K32:K36">
    <cfRule type="expression" dxfId="13989" priority="162">
      <formula>$C32&lt;$E$3</formula>
    </cfRule>
  </conditionalFormatting>
  <conditionalFormatting sqref="K32:K36">
    <cfRule type="expression" dxfId="13988" priority="161">
      <formula>$E32=""</formula>
    </cfRule>
  </conditionalFormatting>
  <conditionalFormatting sqref="K32:K36">
    <cfRule type="expression" dxfId="13987" priority="160">
      <formula>$E32=""</formula>
    </cfRule>
  </conditionalFormatting>
  <conditionalFormatting sqref="K32:K36">
    <cfRule type="expression" dxfId="13986" priority="159">
      <formula>$C32&lt;$E$3</formula>
    </cfRule>
  </conditionalFormatting>
  <conditionalFormatting sqref="K32:K36">
    <cfRule type="expression" dxfId="13985" priority="158">
      <formula>$E32=""</formula>
    </cfRule>
  </conditionalFormatting>
  <conditionalFormatting sqref="K32:K36">
    <cfRule type="expression" dxfId="13984" priority="157">
      <formula>$C32&lt;$E$3</formula>
    </cfRule>
  </conditionalFormatting>
  <conditionalFormatting sqref="K32:K36">
    <cfRule type="expression" dxfId="13983" priority="156">
      <formula>$E32=""</formula>
    </cfRule>
  </conditionalFormatting>
  <conditionalFormatting sqref="K32:K36">
    <cfRule type="expression" dxfId="13982" priority="154">
      <formula>$E32=""</formula>
    </cfRule>
  </conditionalFormatting>
  <conditionalFormatting sqref="K32:K38">
    <cfRule type="expression" dxfId="13981" priority="152">
      <formula>$C32&lt;$E$3</formula>
    </cfRule>
  </conditionalFormatting>
  <conditionalFormatting sqref="K32:K38">
    <cfRule type="expression" dxfId="13980" priority="149">
      <formula>$C32=$E$3</formula>
    </cfRule>
    <cfRule type="expression" dxfId="13979" priority="150">
      <formula>$C32&lt;$E$3</formula>
    </cfRule>
    <cfRule type="cellIs" dxfId="13978" priority="151" operator="equal">
      <formula>0</formula>
    </cfRule>
    <cfRule type="expression" dxfId="13977" priority="153">
      <formula>$C32&gt;$E$3</formula>
    </cfRule>
  </conditionalFormatting>
  <conditionalFormatting sqref="K32:K38">
    <cfRule type="expression" dxfId="13976" priority="148">
      <formula>$E32=""</formula>
    </cfRule>
  </conditionalFormatting>
  <conditionalFormatting sqref="K32:K38">
    <cfRule type="expression" dxfId="13975" priority="147">
      <formula>$E32=""</formula>
    </cfRule>
  </conditionalFormatting>
  <conditionalFormatting sqref="K32:K38">
    <cfRule type="expression" dxfId="13974" priority="146">
      <formula>$E32=""</formula>
    </cfRule>
  </conditionalFormatting>
  <conditionalFormatting sqref="K41:K47">
    <cfRule type="cellIs" dxfId="13973" priority="145" stopIfTrue="1" operator="lessThan">
      <formula>0</formula>
    </cfRule>
  </conditionalFormatting>
  <conditionalFormatting sqref="K41:K47">
    <cfRule type="expression" dxfId="13972" priority="143">
      <formula>$C41&lt;$E$3</formula>
    </cfRule>
  </conditionalFormatting>
  <conditionalFormatting sqref="K41:K47">
    <cfRule type="expression" dxfId="13971" priority="140">
      <formula>$C41=$E$3</formula>
    </cfRule>
    <cfRule type="expression" dxfId="13970" priority="141">
      <formula>$C41&lt;$E$3</formula>
    </cfRule>
    <cfRule type="cellIs" dxfId="13969" priority="142" operator="equal">
      <formula>0</formula>
    </cfRule>
    <cfRule type="expression" dxfId="13968" priority="144">
      <formula>$C41&gt;$E$3</formula>
    </cfRule>
  </conditionalFormatting>
  <conditionalFormatting sqref="K41:K47">
    <cfRule type="expression" dxfId="13967" priority="139">
      <formula>$E41=""</formula>
    </cfRule>
  </conditionalFormatting>
  <conditionalFormatting sqref="K41:K47">
    <cfRule type="expression" dxfId="13966" priority="138">
      <formula>$E41=""</formula>
    </cfRule>
  </conditionalFormatting>
  <conditionalFormatting sqref="K41:K47">
    <cfRule type="expression" dxfId="13965" priority="137">
      <formula>$E41=""</formula>
    </cfRule>
  </conditionalFormatting>
  <conditionalFormatting sqref="K46">
    <cfRule type="expression" dxfId="13964" priority="136">
      <formula>$C46&lt;$E$3</formula>
    </cfRule>
  </conditionalFormatting>
  <conditionalFormatting sqref="K46">
    <cfRule type="expression" dxfId="13963" priority="132">
      <formula>$C46=$E$3</formula>
    </cfRule>
    <cfRule type="expression" dxfId="13962" priority="133">
      <formula>$C46&lt;$E$3</formula>
    </cfRule>
    <cfRule type="cellIs" dxfId="13961" priority="134" operator="equal">
      <formula>0</formula>
    </cfRule>
    <cfRule type="expression" dxfId="13960" priority="135">
      <formula>$C46&gt;$E$3</formula>
    </cfRule>
  </conditionalFormatting>
  <conditionalFormatting sqref="K46">
    <cfRule type="expression" dxfId="13959" priority="131">
      <formula>$C46&lt;$E$3</formula>
    </cfRule>
  </conditionalFormatting>
  <conditionalFormatting sqref="K46">
    <cfRule type="expression" dxfId="13958" priority="127">
      <formula>$C46=$E$3</formula>
    </cfRule>
    <cfRule type="expression" dxfId="13957" priority="128">
      <formula>$C46&lt;$E$3</formula>
    </cfRule>
    <cfRule type="cellIs" dxfId="13956" priority="129" operator="equal">
      <formula>0</formula>
    </cfRule>
    <cfRule type="expression" dxfId="13955" priority="130">
      <formula>$C46&gt;$E$3</formula>
    </cfRule>
  </conditionalFormatting>
  <conditionalFormatting sqref="K46">
    <cfRule type="expression" dxfId="13954" priority="126">
      <formula>$C46&lt;$E$3</formula>
    </cfRule>
  </conditionalFormatting>
  <conditionalFormatting sqref="K46">
    <cfRule type="expression" dxfId="13953" priority="122">
      <formula>$C46=$E$3</formula>
    </cfRule>
    <cfRule type="expression" dxfId="13952" priority="123">
      <formula>$C46&lt;$E$3</formula>
    </cfRule>
    <cfRule type="cellIs" dxfId="13951" priority="124" operator="equal">
      <formula>0</formula>
    </cfRule>
    <cfRule type="expression" dxfId="13950" priority="125">
      <formula>$C46&gt;$E$3</formula>
    </cfRule>
  </conditionalFormatting>
  <conditionalFormatting sqref="K46">
    <cfRule type="expression" dxfId="13949" priority="121">
      <formula>$C46&lt;$E$3</formula>
    </cfRule>
  </conditionalFormatting>
  <conditionalFormatting sqref="K46">
    <cfRule type="expression" dxfId="13948" priority="117">
      <formula>$C46=$E$3</formula>
    </cfRule>
    <cfRule type="expression" dxfId="13947" priority="118">
      <formula>$C46&lt;$E$3</formula>
    </cfRule>
    <cfRule type="cellIs" dxfId="13946" priority="119" operator="equal">
      <formula>0</formula>
    </cfRule>
    <cfRule type="expression" dxfId="13945" priority="120">
      <formula>$C46&gt;$E$3</formula>
    </cfRule>
  </conditionalFormatting>
  <conditionalFormatting sqref="K46">
    <cfRule type="expression" dxfId="13944" priority="116">
      <formula>$E46=""</formula>
    </cfRule>
  </conditionalFormatting>
  <conditionalFormatting sqref="K46">
    <cfRule type="expression" dxfId="13943" priority="115">
      <formula>$C46&lt;$E$3</formula>
    </cfRule>
  </conditionalFormatting>
  <conditionalFormatting sqref="K46">
    <cfRule type="expression" dxfId="13942" priority="114">
      <formula>$E46=""</formula>
    </cfRule>
  </conditionalFormatting>
  <conditionalFormatting sqref="K46">
    <cfRule type="expression" dxfId="13941" priority="113">
      <formula>$E46=""</formula>
    </cfRule>
  </conditionalFormatting>
  <conditionalFormatting sqref="K46">
    <cfRule type="expression" dxfId="13940" priority="112">
      <formula>$C46&lt;$E$3</formula>
    </cfRule>
  </conditionalFormatting>
  <conditionalFormatting sqref="K46">
    <cfRule type="expression" dxfId="13939" priority="111">
      <formula>$E46=""</formula>
    </cfRule>
  </conditionalFormatting>
  <conditionalFormatting sqref="K46">
    <cfRule type="expression" dxfId="13938" priority="110">
      <formula>$C46&lt;$E$3</formula>
    </cfRule>
  </conditionalFormatting>
  <conditionalFormatting sqref="K46">
    <cfRule type="expression" dxfId="13937" priority="109">
      <formula>$E46=""</formula>
    </cfRule>
  </conditionalFormatting>
  <conditionalFormatting sqref="K46">
    <cfRule type="expression" dxfId="13936" priority="107">
      <formula>$E46=""</formula>
    </cfRule>
  </conditionalFormatting>
  <conditionalFormatting sqref="K46">
    <cfRule type="expression" dxfId="13935" priority="102">
      <formula>$C46=$E$3</formula>
    </cfRule>
    <cfRule type="expression" dxfId="13934" priority="103">
      <formula>$C46&lt;$E$3</formula>
    </cfRule>
    <cfRule type="cellIs" dxfId="13933" priority="104" operator="equal">
      <formula>0</formula>
    </cfRule>
    <cfRule type="expression" dxfId="13932" priority="105">
      <formula>$C46&gt;$E$3</formula>
    </cfRule>
  </conditionalFormatting>
  <conditionalFormatting sqref="K46">
    <cfRule type="expression" dxfId="13931" priority="101">
      <formula>$C46&lt;$E$3</formula>
    </cfRule>
  </conditionalFormatting>
  <conditionalFormatting sqref="K46">
    <cfRule type="expression" dxfId="13930" priority="97">
      <formula>$C46=$E$3</formula>
    </cfRule>
    <cfRule type="expression" dxfId="13929" priority="98">
      <formula>$C46&lt;$E$3</formula>
    </cfRule>
    <cfRule type="cellIs" dxfId="13928" priority="99" operator="equal">
      <formula>0</formula>
    </cfRule>
    <cfRule type="expression" dxfId="13927" priority="100">
      <formula>$C46&gt;$E$3</formula>
    </cfRule>
  </conditionalFormatting>
  <conditionalFormatting sqref="K46">
    <cfRule type="expression" dxfId="13926" priority="96">
      <formula>$C46&lt;$E$3</formula>
    </cfRule>
  </conditionalFormatting>
  <conditionalFormatting sqref="K46">
    <cfRule type="expression" dxfId="13925" priority="92">
      <formula>$C46=$E$3</formula>
    </cfRule>
    <cfRule type="expression" dxfId="13924" priority="93">
      <formula>$C46&lt;$E$3</formula>
    </cfRule>
    <cfRule type="cellIs" dxfId="13923" priority="94" operator="equal">
      <formula>0</formula>
    </cfRule>
    <cfRule type="expression" dxfId="13922" priority="95">
      <formula>$C46&gt;$E$3</formula>
    </cfRule>
  </conditionalFormatting>
  <conditionalFormatting sqref="K46">
    <cfRule type="expression" dxfId="13921" priority="91">
      <formula>$C46&lt;$E$3</formula>
    </cfRule>
  </conditionalFormatting>
  <conditionalFormatting sqref="K46">
    <cfRule type="expression" dxfId="13920" priority="87">
      <formula>$C46=$E$3</formula>
    </cfRule>
    <cfRule type="expression" dxfId="13919" priority="88">
      <formula>$C46&lt;$E$3</formula>
    </cfRule>
    <cfRule type="cellIs" dxfId="13918" priority="89" operator="equal">
      <formula>0</formula>
    </cfRule>
    <cfRule type="expression" dxfId="13917" priority="90">
      <formula>$C46&gt;$E$3</formula>
    </cfRule>
  </conditionalFormatting>
  <conditionalFormatting sqref="K46">
    <cfRule type="expression" dxfId="13916" priority="86">
      <formula>$E46=""</formula>
    </cfRule>
  </conditionalFormatting>
  <conditionalFormatting sqref="K46">
    <cfRule type="expression" dxfId="13915" priority="85">
      <formula>$C46&lt;$E$3</formula>
    </cfRule>
  </conditionalFormatting>
  <conditionalFormatting sqref="K46">
    <cfRule type="expression" dxfId="13914" priority="84">
      <formula>$E46=""</formula>
    </cfRule>
  </conditionalFormatting>
  <conditionalFormatting sqref="K46">
    <cfRule type="expression" dxfId="13913" priority="83">
      <formula>$E46=""</formula>
    </cfRule>
  </conditionalFormatting>
  <conditionalFormatting sqref="K46">
    <cfRule type="expression" dxfId="13912" priority="82">
      <formula>$C46&lt;$E$3</formula>
    </cfRule>
  </conditionalFormatting>
  <conditionalFormatting sqref="K46">
    <cfRule type="expression" dxfId="13911" priority="81">
      <formula>$E46=""</formula>
    </cfRule>
  </conditionalFormatting>
  <conditionalFormatting sqref="K46">
    <cfRule type="expression" dxfId="13910" priority="80">
      <formula>$C46&lt;$E$3</formula>
    </cfRule>
  </conditionalFormatting>
  <conditionalFormatting sqref="K46">
    <cfRule type="expression" dxfId="13909" priority="79">
      <formula>$E46=""</formula>
    </cfRule>
  </conditionalFormatting>
  <conditionalFormatting sqref="K46">
    <cfRule type="expression" dxfId="13908" priority="77">
      <formula>$E46=""</formula>
    </cfRule>
  </conditionalFormatting>
  <conditionalFormatting sqref="K41:K45">
    <cfRule type="expression" dxfId="13907" priority="72">
      <formula>$C41=$E$3</formula>
    </cfRule>
    <cfRule type="expression" dxfId="13906" priority="73">
      <formula>$C41&lt;$E$3</formula>
    </cfRule>
    <cfRule type="cellIs" dxfId="13905" priority="74" operator="equal">
      <formula>0</formula>
    </cfRule>
    <cfRule type="expression" dxfId="13904" priority="75">
      <formula>$C41&gt;$E$3</formula>
    </cfRule>
  </conditionalFormatting>
  <conditionalFormatting sqref="K41:K45">
    <cfRule type="expression" dxfId="13903" priority="71">
      <formula>$C41&lt;$E$3</formula>
    </cfRule>
  </conditionalFormatting>
  <conditionalFormatting sqref="K41:K45">
    <cfRule type="expression" dxfId="13902" priority="67">
      <formula>$C41=$E$3</formula>
    </cfRule>
    <cfRule type="expression" dxfId="13901" priority="68">
      <formula>$C41&lt;$E$3</formula>
    </cfRule>
    <cfRule type="cellIs" dxfId="13900" priority="69" operator="equal">
      <formula>0</formula>
    </cfRule>
    <cfRule type="expression" dxfId="13899" priority="70">
      <formula>$C41&gt;$E$3</formula>
    </cfRule>
  </conditionalFormatting>
  <conditionalFormatting sqref="K41:K45">
    <cfRule type="expression" dxfId="13898" priority="66">
      <formula>$C41&lt;$E$3</formula>
    </cfRule>
  </conditionalFormatting>
  <conditionalFormatting sqref="K41:K45">
    <cfRule type="expression" dxfId="13897" priority="62">
      <formula>$C41=$E$3</formula>
    </cfRule>
    <cfRule type="expression" dxfId="13896" priority="63">
      <formula>$C41&lt;$E$3</formula>
    </cfRule>
    <cfRule type="cellIs" dxfId="13895" priority="64" operator="equal">
      <formula>0</formula>
    </cfRule>
    <cfRule type="expression" dxfId="13894" priority="65">
      <formula>$C41&gt;$E$3</formula>
    </cfRule>
  </conditionalFormatting>
  <conditionalFormatting sqref="K41:K45">
    <cfRule type="expression" dxfId="13893" priority="61">
      <formula>$C41&lt;$E$3</formula>
    </cfRule>
  </conditionalFormatting>
  <conditionalFormatting sqref="K41:K45">
    <cfRule type="expression" dxfId="13892" priority="57">
      <formula>$C41=$E$3</formula>
    </cfRule>
    <cfRule type="expression" dxfId="13891" priority="58">
      <formula>$C41&lt;$E$3</formula>
    </cfRule>
    <cfRule type="cellIs" dxfId="13890" priority="59" operator="equal">
      <formula>0</formula>
    </cfRule>
    <cfRule type="expression" dxfId="13889" priority="60">
      <formula>$C41&gt;$E$3</formula>
    </cfRule>
  </conditionalFormatting>
  <conditionalFormatting sqref="K41:K45">
    <cfRule type="expression" dxfId="13888" priority="56">
      <formula>$E41=""</formula>
    </cfRule>
  </conditionalFormatting>
  <conditionalFormatting sqref="K41:K45">
    <cfRule type="expression" dxfId="13887" priority="55">
      <formula>$C41&lt;$E$3</formula>
    </cfRule>
  </conditionalFormatting>
  <conditionalFormatting sqref="K41:K45">
    <cfRule type="expression" dxfId="13886" priority="54">
      <formula>$E41=""</formula>
    </cfRule>
  </conditionalFormatting>
  <conditionalFormatting sqref="K41:K45">
    <cfRule type="expression" dxfId="13885" priority="53">
      <formula>$E41=""</formula>
    </cfRule>
  </conditionalFormatting>
  <conditionalFormatting sqref="K41:K45">
    <cfRule type="expression" dxfId="13884" priority="52">
      <formula>$C41&lt;$E$3</formula>
    </cfRule>
  </conditionalFormatting>
  <conditionalFormatting sqref="K41:K45">
    <cfRule type="expression" dxfId="13883" priority="51">
      <formula>$E41=""</formula>
    </cfRule>
  </conditionalFormatting>
  <conditionalFormatting sqref="K41:K45">
    <cfRule type="expression" dxfId="13882" priority="50">
      <formula>$C41&lt;$E$3</formula>
    </cfRule>
  </conditionalFormatting>
  <conditionalFormatting sqref="K41:K45">
    <cfRule type="expression" dxfId="13881" priority="49">
      <formula>$E41=""</formula>
    </cfRule>
  </conditionalFormatting>
  <conditionalFormatting sqref="K41:K45">
    <cfRule type="expression" dxfId="13880" priority="47">
      <formula>$E41=""</formula>
    </cfRule>
  </conditionalFormatting>
  <conditionalFormatting sqref="K41:K45">
    <cfRule type="expression" dxfId="13879" priority="42">
      <formula>$C41=$E$3</formula>
    </cfRule>
    <cfRule type="expression" dxfId="13878" priority="43">
      <formula>$C41&lt;$E$3</formula>
    </cfRule>
    <cfRule type="cellIs" dxfId="13877" priority="44" operator="equal">
      <formula>0</formula>
    </cfRule>
    <cfRule type="expression" dxfId="13876" priority="45">
      <formula>$C41&gt;$E$3</formula>
    </cfRule>
  </conditionalFormatting>
  <conditionalFormatting sqref="K41:K45">
    <cfRule type="expression" dxfId="13875" priority="41">
      <formula>$C41&lt;$E$3</formula>
    </cfRule>
  </conditionalFormatting>
  <conditionalFormatting sqref="K41:K45">
    <cfRule type="expression" dxfId="13874" priority="37">
      <formula>$C41=$E$3</formula>
    </cfRule>
    <cfRule type="expression" dxfId="13873" priority="38">
      <formula>$C41&lt;$E$3</formula>
    </cfRule>
    <cfRule type="cellIs" dxfId="13872" priority="39" operator="equal">
      <formula>0</formula>
    </cfRule>
    <cfRule type="expression" dxfId="13871" priority="40">
      <formula>$C41&gt;$E$3</formula>
    </cfRule>
  </conditionalFormatting>
  <conditionalFormatting sqref="K41:K45">
    <cfRule type="expression" dxfId="13870" priority="36">
      <formula>$C41&lt;$E$3</formula>
    </cfRule>
  </conditionalFormatting>
  <conditionalFormatting sqref="K41:K45">
    <cfRule type="expression" dxfId="13869" priority="32">
      <formula>$C41=$E$3</formula>
    </cfRule>
    <cfRule type="expression" dxfId="13868" priority="33">
      <formula>$C41&lt;$E$3</formula>
    </cfRule>
    <cfRule type="cellIs" dxfId="13867" priority="34" operator="equal">
      <formula>0</formula>
    </cfRule>
    <cfRule type="expression" dxfId="13866" priority="35">
      <formula>$C41&gt;$E$3</formula>
    </cfRule>
  </conditionalFormatting>
  <conditionalFormatting sqref="K41:K45">
    <cfRule type="expression" dxfId="13865" priority="31">
      <formula>$C41&lt;$E$3</formula>
    </cfRule>
  </conditionalFormatting>
  <conditionalFormatting sqref="K41:K45">
    <cfRule type="expression" dxfId="13864" priority="27">
      <formula>$C41=$E$3</formula>
    </cfRule>
    <cfRule type="expression" dxfId="13863" priority="28">
      <formula>$C41&lt;$E$3</formula>
    </cfRule>
    <cfRule type="cellIs" dxfId="13862" priority="29" operator="equal">
      <formula>0</formula>
    </cfRule>
    <cfRule type="expression" dxfId="13861" priority="30">
      <formula>$C41&gt;$E$3</formula>
    </cfRule>
  </conditionalFormatting>
  <conditionalFormatting sqref="K41:K45">
    <cfRule type="expression" dxfId="13860" priority="26">
      <formula>$E41=""</formula>
    </cfRule>
  </conditionalFormatting>
  <conditionalFormatting sqref="K41:K45">
    <cfRule type="expression" dxfId="13859" priority="25">
      <formula>$C41&lt;$E$3</formula>
    </cfRule>
  </conditionalFormatting>
  <conditionalFormatting sqref="K41:K45">
    <cfRule type="expression" dxfId="13858" priority="24">
      <formula>$E41=""</formula>
    </cfRule>
  </conditionalFormatting>
  <conditionalFormatting sqref="K41:K45">
    <cfRule type="expression" dxfId="13857" priority="23">
      <formula>$E41=""</formula>
    </cfRule>
  </conditionalFormatting>
  <conditionalFormatting sqref="K41:K45">
    <cfRule type="expression" dxfId="13856" priority="22">
      <formula>$C41&lt;$E$3</formula>
    </cfRule>
  </conditionalFormatting>
  <conditionalFormatting sqref="K41:K45">
    <cfRule type="expression" dxfId="13855" priority="21">
      <formula>$E41=""</formula>
    </cfRule>
  </conditionalFormatting>
  <conditionalFormatting sqref="K41:K45">
    <cfRule type="expression" dxfId="13854" priority="20">
      <formula>$C41&lt;$E$3</formula>
    </cfRule>
  </conditionalFormatting>
  <conditionalFormatting sqref="K41:K45">
    <cfRule type="expression" dxfId="13853" priority="19">
      <formula>$E41=""</formula>
    </cfRule>
  </conditionalFormatting>
  <conditionalFormatting sqref="K41:K45">
    <cfRule type="expression" dxfId="13852" priority="17">
      <formula>$E41=""</formula>
    </cfRule>
  </conditionalFormatting>
  <conditionalFormatting sqref="K41:K47">
    <cfRule type="expression" dxfId="13851" priority="15">
      <formula>$C41&lt;$E$3</formula>
    </cfRule>
  </conditionalFormatting>
  <conditionalFormatting sqref="K41:K47">
    <cfRule type="expression" dxfId="13850" priority="12">
      <formula>$C41=$E$3</formula>
    </cfRule>
    <cfRule type="expression" dxfId="13849" priority="13">
      <formula>$C41&lt;$E$3</formula>
    </cfRule>
    <cfRule type="cellIs" dxfId="13848" priority="14" operator="equal">
      <formula>0</formula>
    </cfRule>
    <cfRule type="expression" dxfId="13847" priority="16">
      <formula>$C41&gt;$E$3</formula>
    </cfRule>
  </conditionalFormatting>
  <conditionalFormatting sqref="K41:K47">
    <cfRule type="expression" dxfId="13846" priority="11">
      <formula>$E41=""</formula>
    </cfRule>
  </conditionalFormatting>
  <conditionalFormatting sqref="K41:K47">
    <cfRule type="expression" dxfId="13845" priority="10">
      <formula>$E41=""</formula>
    </cfRule>
  </conditionalFormatting>
  <conditionalFormatting sqref="K41:K47">
    <cfRule type="expression" dxfId="13844" priority="9">
      <formula>$E41=""</formula>
    </cfRule>
  </conditionalFormatting>
  <conditionalFormatting sqref="N20 N18 N16">
    <cfRule type="cellIs" dxfId="13843" priority="8" stopIfTrue="1" operator="lessThan">
      <formula>0</formula>
    </cfRule>
  </conditionalFormatting>
  <conditionalFormatting sqref="N23 N27:N28">
    <cfRule type="cellIs" dxfId="13842" priority="7" stopIfTrue="1" operator="lessThan">
      <formula>0</formula>
    </cfRule>
  </conditionalFormatting>
  <conditionalFormatting sqref="N32:N34 N36 N38">
    <cfRule type="cellIs" dxfId="13841" priority="6" stopIfTrue="1" operator="lessThan">
      <formula>0</formula>
    </cfRule>
  </conditionalFormatting>
  <conditionalFormatting sqref="N41:N47">
    <cfRule type="cellIs" dxfId="13840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AH71"/>
  <sheetViews>
    <sheetView workbookViewId="0">
      <selection activeCell="F34" sqref="F34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7.83203125" customWidth="1"/>
    <col min="11" max="11" width="8.1640625" hidden="1" customWidth="1"/>
    <col min="12" max="12" width="7.832031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1" width="10.33203125" bestFit="1" customWidth="1"/>
    <col min="33" max="33" width="10.6640625" bestFit="1" customWidth="1"/>
  </cols>
  <sheetData>
    <row r="1" spans="1:34" ht="53.25" customHeight="1" thickBot="1">
      <c r="A1" s="42">
        <v>3</v>
      </c>
      <c r="B1" s="40" t="s">
        <v>0</v>
      </c>
      <c r="C1" s="41"/>
      <c r="D1" s="41"/>
      <c r="E1" s="193" t="str">
        <f>VLOOKUP(A1,'MY STATS'!$B$32:$E$43,4)</f>
        <v>Mar.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168" t="s">
        <v>25</v>
      </c>
      <c r="P1" s="170" t="s">
        <v>26</v>
      </c>
      <c r="Q1" s="170" t="s">
        <v>26</v>
      </c>
      <c r="R1" s="181" t="s">
        <v>32</v>
      </c>
      <c r="S1" s="194" t="s">
        <v>115</v>
      </c>
      <c r="T1" s="181"/>
      <c r="U1" s="181"/>
      <c r="V1" s="181" t="s">
        <v>84</v>
      </c>
      <c r="W1" s="181" t="s">
        <v>85</v>
      </c>
      <c r="X1" s="170" t="s">
        <v>24</v>
      </c>
      <c r="Y1" s="170" t="s">
        <v>21</v>
      </c>
      <c r="Z1" s="170" t="s">
        <v>22</v>
      </c>
      <c r="AA1" s="182" t="s">
        <v>23</v>
      </c>
      <c r="AB1" s="79"/>
      <c r="AC1" s="79"/>
      <c r="AD1" s="76"/>
      <c r="AE1" s="76"/>
    </row>
    <row r="2" spans="1:34" ht="36" hidden="1" thickTop="1" thickBot="1">
      <c r="A2" s="54" t="s">
        <v>64</v>
      </c>
      <c r="B2" s="21">
        <f>VLOOKUP(A1,'MY STATS'!$B$32:$G$43,3)</f>
        <v>45352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183"/>
      <c r="P2" s="79"/>
      <c r="Q2" s="79"/>
      <c r="R2" s="184">
        <f>'MY STATS'!A16</f>
        <v>3</v>
      </c>
      <c r="S2" s="184"/>
      <c r="T2" s="184"/>
      <c r="U2" s="184"/>
      <c r="V2" s="184"/>
      <c r="W2" s="184"/>
      <c r="X2" s="79"/>
      <c r="Y2" s="79"/>
      <c r="Z2" s="95"/>
      <c r="AA2" s="95"/>
      <c r="AB2" s="79"/>
      <c r="AC2" s="79"/>
      <c r="AD2" s="76"/>
      <c r="AE2" s="76"/>
    </row>
    <row r="3" spans="1:34" ht="18" hidden="1" thickTop="1" thickBot="1">
      <c r="A3" s="75">
        <f>'MY STATS'!D44</f>
        <v>45658</v>
      </c>
      <c r="B3" s="21">
        <f>VLOOKUP(A1+1,'MY STATS'!$B$32:$G$44,3)-1</f>
        <v>45382</v>
      </c>
      <c r="C3" s="21">
        <f>VLOOKUP(A1,'MY STATS'!$B$32:$G$43,2)</f>
        <v>45348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183"/>
      <c r="P3" s="79"/>
      <c r="Q3" s="79"/>
      <c r="R3" s="184"/>
      <c r="S3" s="184"/>
      <c r="T3" s="184"/>
      <c r="U3" s="184"/>
      <c r="V3" s="184"/>
      <c r="W3" s="184"/>
      <c r="X3" s="79"/>
      <c r="Y3" s="79"/>
      <c r="Z3" s="95"/>
      <c r="AA3" s="95"/>
      <c r="AB3" s="79"/>
      <c r="AC3" s="79"/>
      <c r="AD3" s="76"/>
      <c r="AE3" s="76"/>
    </row>
    <row r="4" spans="1:34" ht="2" customHeight="1" thickTop="1" thickBot="1">
      <c r="A4"/>
      <c r="C4" s="28">
        <f>C3-1</f>
        <v>45347</v>
      </c>
      <c r="D4"/>
      <c r="O4" s="185"/>
      <c r="P4" s="172">
        <f t="shared" ref="P4:P11" si="0">H$56</f>
        <v>41574.659995171969</v>
      </c>
      <c r="Q4" s="128">
        <f>IF(R$2=3,P4,IF(R$2=2,P4*1.0936,IF(R$2=1,P4*0.000568181818*1.0936133,"")))</f>
        <v>41574.659995171969</v>
      </c>
      <c r="R4" s="169"/>
      <c r="S4" s="169"/>
      <c r="T4" s="169"/>
      <c r="U4" s="169"/>
      <c r="V4" s="169"/>
      <c r="W4" s="169"/>
      <c r="X4" s="172"/>
      <c r="Y4" s="172"/>
      <c r="Z4" s="171">
        <v>0</v>
      </c>
      <c r="AA4" s="95"/>
      <c r="AB4" s="79">
        <v>0</v>
      </c>
      <c r="AC4" s="79"/>
      <c r="AD4" s="76"/>
      <c r="AE4" s="76"/>
    </row>
    <row r="5" spans="1:34" ht="15.75" customHeight="1">
      <c r="A5" s="22"/>
      <c r="B5" s="19">
        <f>IF(B$2&gt;C5,0,C5)</f>
        <v>0</v>
      </c>
      <c r="C5" s="28">
        <f>C3</f>
        <v>45348</v>
      </c>
      <c r="D5" s="20">
        <f t="shared" ref="D5:D51" ca="1" si="1">TODAY()-C5</f>
        <v>-57</v>
      </c>
      <c r="E5" s="91" t="str">
        <f>IF(B5=0,"","Monday")</f>
        <v/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71" t="str">
        <f t="shared" ref="O5:O51" si="3">IF(B5=0,"",(F$3-G$3)/(A$3-B$2)+0.1)</f>
        <v/>
      </c>
      <c r="P5" s="172">
        <f t="shared" si="0"/>
        <v>41574.659995171969</v>
      </c>
      <c r="Q5" s="128">
        <f t="shared" ref="Q5:Q51" si="4">IF(R$2=3,P5,IF(R$2=2,P5*1.0936,IF(R$2=1,P5*0.000568181818*1.0936133,"")))</f>
        <v>41574.659995171969</v>
      </c>
      <c r="R5" s="128">
        <f>IF(R$2=3,H5+G5/1.0936133+F5/0.0006213712,IF(R$2=2,H5*1.0936133+G5+F5/0.0005681818,IF(R$2=1,H5*0.0005681818*1.0936133+G5*0.0005681818+F5,"")))</f>
        <v>0</v>
      </c>
      <c r="S5" s="195" t="str">
        <f>IF(R5=0,"",R5*IF(L5&gt;0,1,0))</f>
        <v/>
      </c>
      <c r="T5" s="128"/>
      <c r="U5" s="128"/>
      <c r="V5" s="129" t="str">
        <f t="shared" ref="V5:V11" si="5">IF(L5="","",IF(R5=0,"",IF(B5=0,"",IF($R$2=3,R5/L5*60/1000,IF($R$2=2,R5/L5*60/1760,IF($R$2=1,R5/L5*60,""))))))</f>
        <v/>
      </c>
      <c r="W5" s="129" t="str">
        <f t="shared" ref="W5:W11" si="6">IF(R5=0,"",IF(L5="","",V5*L5))</f>
        <v/>
      </c>
      <c r="X5" s="171">
        <f t="shared" ref="X5:Z11" si="7">F5+X4</f>
        <v>0</v>
      </c>
      <c r="Y5" s="171">
        <f t="shared" si="7"/>
        <v>0</v>
      </c>
      <c r="Z5" s="171">
        <f t="shared" si="7"/>
        <v>0</v>
      </c>
      <c r="AA5" s="186">
        <f t="shared" ref="AA5:AA51" si="8">Z5/1000+Y5/1093.6133+X5/0.621371192</f>
        <v>0</v>
      </c>
      <c r="AB5" s="187">
        <f>R5</f>
        <v>0</v>
      </c>
      <c r="AC5" s="95"/>
      <c r="AD5" s="77"/>
      <c r="AE5" s="77"/>
      <c r="AF5" s="7"/>
    </row>
    <row r="6" spans="1:34">
      <c r="A6" s="23"/>
      <c r="B6" s="4">
        <f t="shared" ref="B6:B11" si="9">IF(B$2&gt;C6,0,C6)</f>
        <v>0</v>
      </c>
      <c r="C6" s="29">
        <f>C3+1</f>
        <v>45349</v>
      </c>
      <c r="D6" s="6">
        <f t="shared" ca="1" si="1"/>
        <v>-58</v>
      </c>
      <c r="E6" s="90" t="str">
        <f>IF(B6=0,"","Tuesday")</f>
        <v/>
      </c>
      <c r="F6" s="45"/>
      <c r="G6" s="46"/>
      <c r="H6" s="46"/>
      <c r="I6" s="151"/>
      <c r="J6" s="46"/>
      <c r="K6" s="152" t="str">
        <f t="shared" ref="K6:K11" si="10">IF(R6=0,"",IF(L6="","",J6))</f>
        <v/>
      </c>
      <c r="L6" s="46"/>
      <c r="M6" s="46" t="str">
        <f t="shared" si="2"/>
        <v/>
      </c>
      <c r="N6" s="301"/>
      <c r="O6" s="171" t="str">
        <f t="shared" si="3"/>
        <v/>
      </c>
      <c r="P6" s="172">
        <f t="shared" si="0"/>
        <v>41574.659995171969</v>
      </c>
      <c r="Q6" s="128">
        <f t="shared" si="4"/>
        <v>41574.659995171969</v>
      </c>
      <c r="R6" s="128">
        <f t="shared" ref="R6:R11" si="11">IF(R$2=3,H6+G6/1.0936133+F6/0.0006213712,IF(R$2=2,H6*1.0936133+G6+F6/0.0005681818,IF(R$2=1,H6*0.0005681818*1.0936133+G6*0.0005681818+F6,"")))</f>
        <v>0</v>
      </c>
      <c r="S6" s="195" t="str">
        <f t="shared" ref="S6:S51" si="12">IF(R6=0,"",R6*IF(L6&gt;0,1,0))</f>
        <v/>
      </c>
      <c r="T6" s="128"/>
      <c r="U6" s="128"/>
      <c r="V6" s="129" t="str">
        <f t="shared" si="5"/>
        <v/>
      </c>
      <c r="W6" s="129" t="str">
        <f t="shared" si="6"/>
        <v/>
      </c>
      <c r="X6" s="171">
        <f t="shared" si="7"/>
        <v>0</v>
      </c>
      <c r="Y6" s="171">
        <f t="shared" si="7"/>
        <v>0</v>
      </c>
      <c r="Z6" s="171">
        <f t="shared" si="7"/>
        <v>0</v>
      </c>
      <c r="AA6" s="186">
        <f t="shared" si="8"/>
        <v>0</v>
      </c>
      <c r="AB6" s="173">
        <f t="shared" ref="AB6:AB51" si="13">AB5+R6</f>
        <v>0</v>
      </c>
      <c r="AC6" s="79"/>
      <c r="AD6" s="76"/>
      <c r="AE6" s="76"/>
      <c r="AH6" s="9"/>
    </row>
    <row r="7" spans="1:34">
      <c r="A7" s="23"/>
      <c r="B7" s="4">
        <f t="shared" si="9"/>
        <v>0</v>
      </c>
      <c r="C7" s="29">
        <f>C3+2</f>
        <v>45350</v>
      </c>
      <c r="D7" s="6">
        <f t="shared" ca="1" si="1"/>
        <v>-59</v>
      </c>
      <c r="E7" s="90" t="str">
        <f>IF(B7=0,"","Wednesday")</f>
        <v/>
      </c>
      <c r="F7" s="45"/>
      <c r="G7" s="46"/>
      <c r="H7" s="46"/>
      <c r="I7" s="151"/>
      <c r="J7" s="46"/>
      <c r="K7" s="152"/>
      <c r="L7" s="46"/>
      <c r="M7" s="46" t="str">
        <f t="shared" si="2"/>
        <v/>
      </c>
      <c r="N7" s="310"/>
      <c r="O7" s="171" t="str">
        <f t="shared" si="3"/>
        <v/>
      </c>
      <c r="P7" s="172">
        <f t="shared" si="0"/>
        <v>41574.659995171969</v>
      </c>
      <c r="Q7" s="128">
        <f t="shared" si="4"/>
        <v>41574.659995171969</v>
      </c>
      <c r="R7" s="128">
        <f t="shared" si="11"/>
        <v>0</v>
      </c>
      <c r="S7" s="195" t="str">
        <f t="shared" si="12"/>
        <v/>
      </c>
      <c r="T7" s="128"/>
      <c r="U7" s="128"/>
      <c r="V7" s="129" t="str">
        <f t="shared" si="5"/>
        <v/>
      </c>
      <c r="W7" s="129" t="str">
        <f t="shared" si="6"/>
        <v/>
      </c>
      <c r="X7" s="171">
        <f t="shared" si="7"/>
        <v>0</v>
      </c>
      <c r="Y7" s="171">
        <f t="shared" si="7"/>
        <v>0</v>
      </c>
      <c r="Z7" s="171">
        <f t="shared" si="7"/>
        <v>0</v>
      </c>
      <c r="AA7" s="186">
        <f t="shared" si="8"/>
        <v>0</v>
      </c>
      <c r="AB7" s="173">
        <f t="shared" si="13"/>
        <v>0</v>
      </c>
      <c r="AC7" s="79"/>
      <c r="AD7" s="76"/>
      <c r="AE7" s="76"/>
    </row>
    <row r="8" spans="1:34">
      <c r="A8" s="23"/>
      <c r="B8" s="4">
        <f t="shared" si="9"/>
        <v>0</v>
      </c>
      <c r="C8" s="29">
        <f>C3+3</f>
        <v>45351</v>
      </c>
      <c r="D8" s="6">
        <f t="shared" ca="1" si="1"/>
        <v>-60</v>
      </c>
      <c r="E8" s="90" t="str">
        <f>IF(B8=0,"","Thursday")</f>
        <v/>
      </c>
      <c r="F8" s="45"/>
      <c r="G8" s="46"/>
      <c r="H8" s="46"/>
      <c r="I8" s="151"/>
      <c r="J8" s="46"/>
      <c r="K8" s="152"/>
      <c r="L8" s="46"/>
      <c r="M8" s="46" t="str">
        <f t="shared" si="2"/>
        <v/>
      </c>
      <c r="N8" s="310"/>
      <c r="O8" s="171" t="str">
        <f t="shared" si="3"/>
        <v/>
      </c>
      <c r="P8" s="172">
        <f t="shared" si="0"/>
        <v>41574.659995171969</v>
      </c>
      <c r="Q8" s="128">
        <f t="shared" si="4"/>
        <v>41574.659995171969</v>
      </c>
      <c r="R8" s="128">
        <f t="shared" si="11"/>
        <v>0</v>
      </c>
      <c r="S8" s="195" t="str">
        <f t="shared" si="12"/>
        <v/>
      </c>
      <c r="T8" s="128"/>
      <c r="U8" s="128"/>
      <c r="V8" s="129" t="str">
        <f t="shared" si="5"/>
        <v/>
      </c>
      <c r="W8" s="129" t="str">
        <f t="shared" si="6"/>
        <v/>
      </c>
      <c r="X8" s="171">
        <f t="shared" si="7"/>
        <v>0</v>
      </c>
      <c r="Y8" s="171">
        <f t="shared" si="7"/>
        <v>0</v>
      </c>
      <c r="Z8" s="171">
        <f t="shared" si="7"/>
        <v>0</v>
      </c>
      <c r="AA8" s="186">
        <f t="shared" si="8"/>
        <v>0</v>
      </c>
      <c r="AB8" s="173">
        <f t="shared" si="13"/>
        <v>0</v>
      </c>
      <c r="AC8" s="79"/>
      <c r="AD8" s="76"/>
      <c r="AE8" s="76"/>
    </row>
    <row r="9" spans="1:34">
      <c r="A9" s="23"/>
      <c r="B9" s="4">
        <f t="shared" si="9"/>
        <v>45352</v>
      </c>
      <c r="C9" s="29">
        <f>C3+4</f>
        <v>45352</v>
      </c>
      <c r="D9" s="6">
        <f t="shared" ca="1" si="1"/>
        <v>-61</v>
      </c>
      <c r="E9" s="90" t="str">
        <f>IF(B9=0,"","Friday")</f>
        <v>Friday</v>
      </c>
      <c r="F9" s="45"/>
      <c r="G9" s="46"/>
      <c r="H9" s="46"/>
      <c r="I9" s="151"/>
      <c r="J9" s="46"/>
      <c r="K9" s="152"/>
      <c r="L9" s="46"/>
      <c r="M9" s="46" t="str">
        <f t="shared" si="2"/>
        <v/>
      </c>
      <c r="N9" s="301"/>
      <c r="O9" s="171">
        <f t="shared" si="3"/>
        <v>1341.2199983906557</v>
      </c>
      <c r="P9" s="172">
        <f t="shared" si="0"/>
        <v>41574.659995171969</v>
      </c>
      <c r="Q9" s="128">
        <f t="shared" si="4"/>
        <v>41574.659995171969</v>
      </c>
      <c r="R9" s="128">
        <f t="shared" si="11"/>
        <v>0</v>
      </c>
      <c r="S9" s="195" t="str">
        <f t="shared" si="12"/>
        <v/>
      </c>
      <c r="T9" s="128"/>
      <c r="U9" s="128"/>
      <c r="V9" s="129" t="str">
        <f t="shared" si="5"/>
        <v/>
      </c>
      <c r="W9" s="129" t="str">
        <f t="shared" si="6"/>
        <v/>
      </c>
      <c r="X9" s="171">
        <f t="shared" si="7"/>
        <v>0</v>
      </c>
      <c r="Y9" s="171">
        <f t="shared" si="7"/>
        <v>0</v>
      </c>
      <c r="Z9" s="171">
        <f t="shared" si="7"/>
        <v>0</v>
      </c>
      <c r="AA9" s="186">
        <f t="shared" si="8"/>
        <v>0</v>
      </c>
      <c r="AB9" s="173">
        <f t="shared" si="13"/>
        <v>0</v>
      </c>
      <c r="AC9" s="79"/>
      <c r="AD9" s="76"/>
      <c r="AE9" s="76"/>
    </row>
    <row r="10" spans="1:34">
      <c r="A10" s="23"/>
      <c r="B10" s="4">
        <f t="shared" si="9"/>
        <v>45353</v>
      </c>
      <c r="C10" s="29">
        <f>C3+5</f>
        <v>45353</v>
      </c>
      <c r="D10" s="6">
        <f t="shared" ca="1" si="1"/>
        <v>-62</v>
      </c>
      <c r="E10" s="90" t="str">
        <f>IF(B10=0,"","Saturday")</f>
        <v>Saturday</v>
      </c>
      <c r="F10" s="45"/>
      <c r="G10" s="46"/>
      <c r="H10" s="46"/>
      <c r="I10" s="151"/>
      <c r="J10" s="46"/>
      <c r="K10" s="152"/>
      <c r="L10" s="46"/>
      <c r="M10" s="46" t="str">
        <f t="shared" si="2"/>
        <v/>
      </c>
      <c r="N10" s="310"/>
      <c r="O10" s="171">
        <f t="shared" si="3"/>
        <v>1341.2199983906557</v>
      </c>
      <c r="P10" s="172">
        <f t="shared" si="0"/>
        <v>41574.659995171969</v>
      </c>
      <c r="Q10" s="128">
        <f t="shared" si="4"/>
        <v>41574.659995171969</v>
      </c>
      <c r="R10" s="128">
        <f t="shared" si="11"/>
        <v>0</v>
      </c>
      <c r="S10" s="195" t="str">
        <f t="shared" si="12"/>
        <v/>
      </c>
      <c r="T10" s="128"/>
      <c r="U10" s="128"/>
      <c r="V10" s="129" t="str">
        <f t="shared" si="5"/>
        <v/>
      </c>
      <c r="W10" s="129" t="str">
        <f t="shared" si="6"/>
        <v/>
      </c>
      <c r="X10" s="171">
        <f t="shared" si="7"/>
        <v>0</v>
      </c>
      <c r="Y10" s="171">
        <f t="shared" si="7"/>
        <v>0</v>
      </c>
      <c r="Z10" s="171">
        <f t="shared" si="7"/>
        <v>0</v>
      </c>
      <c r="AA10" s="186">
        <f t="shared" si="8"/>
        <v>0</v>
      </c>
      <c r="AB10" s="173">
        <f t="shared" si="13"/>
        <v>0</v>
      </c>
      <c r="AC10" s="79"/>
      <c r="AD10" s="76"/>
      <c r="AE10" s="76"/>
    </row>
    <row r="11" spans="1:34" ht="15.75" customHeight="1" thickBot="1">
      <c r="A11" s="23"/>
      <c r="B11" s="43">
        <f t="shared" si="9"/>
        <v>45354</v>
      </c>
      <c r="C11" s="32">
        <f>C3+6</f>
        <v>45354</v>
      </c>
      <c r="D11" s="44">
        <f t="shared" ca="1" si="1"/>
        <v>-63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0"/>
        <v/>
      </c>
      <c r="L11" s="46"/>
      <c r="M11" s="46" t="str">
        <f t="shared" si="2"/>
        <v/>
      </c>
      <c r="N11" s="310"/>
      <c r="O11" s="171">
        <f t="shared" si="3"/>
        <v>1341.2199983906557</v>
      </c>
      <c r="P11" s="172">
        <f t="shared" si="0"/>
        <v>41574.659995171969</v>
      </c>
      <c r="Q11" s="128">
        <f t="shared" si="4"/>
        <v>41574.659995171969</v>
      </c>
      <c r="R11" s="128">
        <f t="shared" si="11"/>
        <v>0</v>
      </c>
      <c r="S11" s="195" t="str">
        <f t="shared" si="12"/>
        <v/>
      </c>
      <c r="T11" s="128"/>
      <c r="U11" s="128"/>
      <c r="V11" s="129" t="str">
        <f t="shared" si="5"/>
        <v/>
      </c>
      <c r="W11" s="129" t="str">
        <f t="shared" si="6"/>
        <v/>
      </c>
      <c r="X11" s="171">
        <f t="shared" si="7"/>
        <v>0</v>
      </c>
      <c r="Y11" s="171">
        <f t="shared" si="7"/>
        <v>0</v>
      </c>
      <c r="Z11" s="171">
        <f t="shared" si="7"/>
        <v>0</v>
      </c>
      <c r="AA11" s="186">
        <f t="shared" si="8"/>
        <v>0</v>
      </c>
      <c r="AB11" s="173">
        <f t="shared" si="13"/>
        <v>0</v>
      </c>
      <c r="AC11" s="79"/>
      <c r="AD11" s="76"/>
      <c r="AE11" s="76"/>
    </row>
    <row r="12" spans="1:34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71" t="str">
        <f t="shared" si="3"/>
        <v/>
      </c>
      <c r="P12" s="172"/>
      <c r="Q12" s="128">
        <f t="shared" si="4"/>
        <v>0</v>
      </c>
      <c r="R12" s="188"/>
      <c r="S12" s="195" t="str">
        <f t="shared" si="12"/>
        <v/>
      </c>
      <c r="T12" s="188"/>
      <c r="U12" s="188"/>
      <c r="V12" s="188"/>
      <c r="W12" s="188"/>
      <c r="X12" s="172"/>
      <c r="Y12" s="172"/>
      <c r="Z12" s="95"/>
      <c r="AA12" s="186">
        <f t="shared" si="8"/>
        <v>0</v>
      </c>
      <c r="AB12" s="173">
        <f t="shared" si="13"/>
        <v>0</v>
      </c>
      <c r="AC12" s="79"/>
      <c r="AD12" s="76"/>
      <c r="AE12" s="76"/>
    </row>
    <row r="13" spans="1:34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2.5001817598112317</v>
      </c>
      <c r="G13" s="53">
        <f>H13*1.0936113</f>
        <v>4400.320038078009</v>
      </c>
      <c r="H13" s="103">
        <f>SUM($O5:$O11)</f>
        <v>4023.6599951719672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71" t="str">
        <f t="shared" si="3"/>
        <v/>
      </c>
      <c r="P13" s="172"/>
      <c r="Q13" s="128">
        <f t="shared" si="4"/>
        <v>0</v>
      </c>
      <c r="R13" s="189"/>
      <c r="S13" s="195" t="str">
        <f t="shared" si="12"/>
        <v/>
      </c>
      <c r="T13" s="189"/>
      <c r="U13" s="189"/>
      <c r="V13" s="189"/>
      <c r="W13" s="189"/>
      <c r="X13" s="172"/>
      <c r="Y13" s="172"/>
      <c r="Z13" s="95"/>
      <c r="AA13" s="186">
        <f t="shared" si="8"/>
        <v>0</v>
      </c>
      <c r="AB13" s="173">
        <f t="shared" si="13"/>
        <v>0</v>
      </c>
      <c r="AC13" s="79"/>
      <c r="AD13" s="76"/>
      <c r="AE13" s="76"/>
    </row>
    <row r="14" spans="1:34" ht="17" thickTop="1">
      <c r="A14" s="1"/>
      <c r="B14" s="47">
        <f t="shared" ref="B14:B20" si="14">IF(B$2&gt;C14,0,C14)</f>
        <v>45355</v>
      </c>
      <c r="C14" s="31">
        <f>C11+1</f>
        <v>45355</v>
      </c>
      <c r="D14" s="18">
        <f t="shared" ca="1" si="1"/>
        <v>-64</v>
      </c>
      <c r="E14" s="94" t="s">
        <v>1</v>
      </c>
      <c r="F14" s="45"/>
      <c r="G14" s="46"/>
      <c r="H14" s="46"/>
      <c r="I14" s="109"/>
      <c r="J14" s="101"/>
      <c r="K14" s="152"/>
      <c r="L14" s="101"/>
      <c r="M14" s="46" t="str">
        <f t="shared" ref="M14:M20" si="15">IF(R14=0,"",IF(J14="","",L14))</f>
        <v/>
      </c>
      <c r="N14" s="310"/>
      <c r="O14" s="171">
        <f t="shared" si="3"/>
        <v>1341.2199983906557</v>
      </c>
      <c r="P14" s="172">
        <f t="shared" ref="P14:P20" si="16">H$56</f>
        <v>41574.659995171969</v>
      </c>
      <c r="Q14" s="128">
        <f t="shared" si="4"/>
        <v>41574.659995171969</v>
      </c>
      <c r="R14" s="128">
        <f>IF(R$2=3,H14+G14/1.0936133+F14/0.0006213712,IF(R$2=2,H14*1.0936133+G14+F14/0.0005681818,IF(R$2=1,H14*0.0005681818*1.0936133+G14*0.0005681818+F14,"")))</f>
        <v>0</v>
      </c>
      <c r="S14" s="195" t="str">
        <f t="shared" si="12"/>
        <v/>
      </c>
      <c r="T14" s="128"/>
      <c r="U14" s="128"/>
      <c r="V14" s="129" t="str">
        <f t="shared" ref="V14:V20" si="17">IF(L14="","",IF(R14=0,"",IF(B14=0,"",IF($R$2=3,R14/L14*60/1000,IF($R$2=2,R14/L14*60/1760,IF($R$2=1,R14/L14*60,""))))))</f>
        <v/>
      </c>
      <c r="W14" s="129" t="str">
        <f t="shared" ref="W14:W20" si="18">IF(R14=0,"",IF(L14="","",V14*L14))</f>
        <v/>
      </c>
      <c r="X14" s="171">
        <f>F14+X11</f>
        <v>0</v>
      </c>
      <c r="Y14" s="171">
        <f>G14+Y11</f>
        <v>0</v>
      </c>
      <c r="Z14" s="171">
        <f>H14+Z11</f>
        <v>0</v>
      </c>
      <c r="AA14" s="186">
        <f t="shared" si="8"/>
        <v>0</v>
      </c>
      <c r="AB14" s="173">
        <f t="shared" si="13"/>
        <v>0</v>
      </c>
      <c r="AC14" s="79"/>
      <c r="AD14" s="76"/>
      <c r="AE14" s="76"/>
    </row>
    <row r="15" spans="1:34">
      <c r="A15" s="1"/>
      <c r="B15" s="4">
        <f t="shared" si="14"/>
        <v>45356</v>
      </c>
      <c r="C15" s="29">
        <f t="shared" ref="C15:C20" si="19">C14+1</f>
        <v>45356</v>
      </c>
      <c r="D15" s="6">
        <f t="shared" ca="1" si="1"/>
        <v>-65</v>
      </c>
      <c r="E15" s="90" t="s">
        <v>2</v>
      </c>
      <c r="F15" s="45"/>
      <c r="G15" s="46"/>
      <c r="H15" s="46"/>
      <c r="I15" s="151"/>
      <c r="J15" s="46"/>
      <c r="K15" s="152"/>
      <c r="L15" s="46"/>
      <c r="M15" s="46" t="str">
        <f t="shared" si="15"/>
        <v/>
      </c>
      <c r="N15" s="310"/>
      <c r="O15" s="171">
        <f t="shared" si="3"/>
        <v>1341.2199983906557</v>
      </c>
      <c r="P15" s="172">
        <f t="shared" si="16"/>
        <v>41574.659995171969</v>
      </c>
      <c r="Q15" s="128">
        <f t="shared" si="4"/>
        <v>41574.659995171969</v>
      </c>
      <c r="R15" s="128">
        <f t="shared" ref="R15:R20" si="20">IF(R$2=3,H15+G15/1.0936133+F15/0.0006213712,IF(R$2=2,H15*1.0936133+G15+F15/0.0005681818,IF(R$2=1,H15*0.0005681818*1.0936133+G15*0.0005681818+F15,"")))</f>
        <v>0</v>
      </c>
      <c r="S15" s="195" t="str">
        <f t="shared" si="12"/>
        <v/>
      </c>
      <c r="T15" s="128"/>
      <c r="U15" s="128"/>
      <c r="V15" s="129" t="str">
        <f t="shared" si="17"/>
        <v/>
      </c>
      <c r="W15" s="129" t="str">
        <f t="shared" si="18"/>
        <v/>
      </c>
      <c r="X15" s="171">
        <f t="shared" ref="X15:Z20" si="21">F15+X14</f>
        <v>0</v>
      </c>
      <c r="Y15" s="171">
        <f t="shared" si="21"/>
        <v>0</v>
      </c>
      <c r="Z15" s="171">
        <f t="shared" si="21"/>
        <v>0</v>
      </c>
      <c r="AA15" s="186">
        <f t="shared" si="8"/>
        <v>0</v>
      </c>
      <c r="AB15" s="173">
        <f t="shared" si="13"/>
        <v>0</v>
      </c>
      <c r="AC15" s="79"/>
      <c r="AD15" s="76"/>
      <c r="AE15" s="76"/>
    </row>
    <row r="16" spans="1:34">
      <c r="A16" s="1"/>
      <c r="B16" s="4">
        <f t="shared" si="14"/>
        <v>45357</v>
      </c>
      <c r="C16" s="29">
        <f t="shared" si="19"/>
        <v>45357</v>
      </c>
      <c r="D16" s="6">
        <f t="shared" ca="1" si="1"/>
        <v>-66</v>
      </c>
      <c r="E16" s="90" t="s">
        <v>3</v>
      </c>
      <c r="F16" s="45"/>
      <c r="G16" s="46"/>
      <c r="H16" s="46"/>
      <c r="I16" s="151"/>
      <c r="J16" s="46"/>
      <c r="K16" s="152"/>
      <c r="L16" s="46"/>
      <c r="M16" s="46" t="str">
        <f t="shared" si="15"/>
        <v/>
      </c>
      <c r="N16" s="301"/>
      <c r="O16" s="171">
        <f t="shared" si="3"/>
        <v>1341.2199983906557</v>
      </c>
      <c r="P16" s="172">
        <f t="shared" si="16"/>
        <v>41574.659995171969</v>
      </c>
      <c r="Q16" s="128">
        <f t="shared" si="4"/>
        <v>41574.659995171969</v>
      </c>
      <c r="R16" s="128">
        <f t="shared" si="20"/>
        <v>0</v>
      </c>
      <c r="S16" s="195" t="str">
        <f t="shared" si="12"/>
        <v/>
      </c>
      <c r="T16" s="128"/>
      <c r="U16" s="128"/>
      <c r="V16" s="129" t="str">
        <f t="shared" si="17"/>
        <v/>
      </c>
      <c r="W16" s="129" t="str">
        <f t="shared" si="18"/>
        <v/>
      </c>
      <c r="X16" s="171">
        <f t="shared" si="21"/>
        <v>0</v>
      </c>
      <c r="Y16" s="171">
        <f t="shared" si="21"/>
        <v>0</v>
      </c>
      <c r="Z16" s="171">
        <f t="shared" si="21"/>
        <v>0</v>
      </c>
      <c r="AA16" s="186">
        <f t="shared" si="8"/>
        <v>0</v>
      </c>
      <c r="AB16" s="173">
        <f t="shared" si="13"/>
        <v>0</v>
      </c>
      <c r="AC16" s="79"/>
      <c r="AD16" s="76"/>
      <c r="AE16" s="76"/>
    </row>
    <row r="17" spans="1:31">
      <c r="A17" s="1"/>
      <c r="B17" s="4">
        <f t="shared" si="14"/>
        <v>45358</v>
      </c>
      <c r="C17" s="29">
        <f t="shared" si="19"/>
        <v>45358</v>
      </c>
      <c r="D17" s="6">
        <f t="shared" ca="1" si="1"/>
        <v>-67</v>
      </c>
      <c r="E17" s="90" t="s">
        <v>4</v>
      </c>
      <c r="F17" s="45"/>
      <c r="G17" s="46"/>
      <c r="H17" s="46"/>
      <c r="I17" s="151"/>
      <c r="J17" s="46"/>
      <c r="K17" s="152"/>
      <c r="L17" s="46"/>
      <c r="M17" s="46" t="str">
        <f t="shared" si="15"/>
        <v/>
      </c>
      <c r="N17" s="310"/>
      <c r="O17" s="171">
        <f t="shared" si="3"/>
        <v>1341.2199983906557</v>
      </c>
      <c r="P17" s="172">
        <f t="shared" si="16"/>
        <v>41574.659995171969</v>
      </c>
      <c r="Q17" s="128">
        <f t="shared" si="4"/>
        <v>41574.659995171969</v>
      </c>
      <c r="R17" s="128">
        <f t="shared" si="20"/>
        <v>0</v>
      </c>
      <c r="S17" s="195" t="str">
        <f t="shared" si="12"/>
        <v/>
      </c>
      <c r="T17" s="128"/>
      <c r="U17" s="128"/>
      <c r="V17" s="129" t="str">
        <f t="shared" si="17"/>
        <v/>
      </c>
      <c r="W17" s="129" t="str">
        <f t="shared" si="18"/>
        <v/>
      </c>
      <c r="X17" s="171">
        <f t="shared" si="21"/>
        <v>0</v>
      </c>
      <c r="Y17" s="171">
        <f t="shared" si="21"/>
        <v>0</v>
      </c>
      <c r="Z17" s="171">
        <f t="shared" si="21"/>
        <v>0</v>
      </c>
      <c r="AA17" s="186">
        <f t="shared" si="8"/>
        <v>0</v>
      </c>
      <c r="AB17" s="173">
        <f t="shared" si="13"/>
        <v>0</v>
      </c>
      <c r="AC17" s="79"/>
      <c r="AD17" s="76"/>
      <c r="AE17" s="76"/>
    </row>
    <row r="18" spans="1:31">
      <c r="A18" s="1"/>
      <c r="B18" s="4">
        <f t="shared" si="14"/>
        <v>45359</v>
      </c>
      <c r="C18" s="29">
        <f t="shared" si="19"/>
        <v>45359</v>
      </c>
      <c r="D18" s="6">
        <f t="shared" ca="1" si="1"/>
        <v>-68</v>
      </c>
      <c r="E18" s="90" t="s">
        <v>5</v>
      </c>
      <c r="F18" s="45"/>
      <c r="G18" s="46"/>
      <c r="H18" s="46"/>
      <c r="I18" s="151"/>
      <c r="J18" s="46"/>
      <c r="K18" s="152" t="str">
        <f t="shared" ref="K18:K20" si="22">IF(R18=0,"",IF(L18="","",J18))</f>
        <v/>
      </c>
      <c r="L18" s="46"/>
      <c r="M18" s="46" t="str">
        <f t="shared" si="15"/>
        <v/>
      </c>
      <c r="N18" s="301"/>
      <c r="O18" s="171">
        <f t="shared" si="3"/>
        <v>1341.2199983906557</v>
      </c>
      <c r="P18" s="172">
        <f t="shared" si="16"/>
        <v>41574.659995171969</v>
      </c>
      <c r="Q18" s="128">
        <f t="shared" si="4"/>
        <v>41574.659995171969</v>
      </c>
      <c r="R18" s="128">
        <f t="shared" si="20"/>
        <v>0</v>
      </c>
      <c r="S18" s="195" t="str">
        <f t="shared" si="12"/>
        <v/>
      </c>
      <c r="T18" s="128"/>
      <c r="U18" s="128"/>
      <c r="V18" s="129" t="str">
        <f t="shared" si="17"/>
        <v/>
      </c>
      <c r="W18" s="129" t="str">
        <f t="shared" si="18"/>
        <v/>
      </c>
      <c r="X18" s="171">
        <f t="shared" si="21"/>
        <v>0</v>
      </c>
      <c r="Y18" s="171">
        <f t="shared" si="21"/>
        <v>0</v>
      </c>
      <c r="Z18" s="171">
        <f t="shared" si="21"/>
        <v>0</v>
      </c>
      <c r="AA18" s="186">
        <f t="shared" si="8"/>
        <v>0</v>
      </c>
      <c r="AB18" s="173">
        <f t="shared" si="13"/>
        <v>0</v>
      </c>
      <c r="AC18" s="79"/>
      <c r="AD18" s="76"/>
      <c r="AE18" s="76"/>
    </row>
    <row r="19" spans="1:31">
      <c r="A19" s="1"/>
      <c r="B19" s="4">
        <f t="shared" si="14"/>
        <v>45360</v>
      </c>
      <c r="C19" s="29">
        <f t="shared" si="19"/>
        <v>45360</v>
      </c>
      <c r="D19" s="6">
        <f t="shared" ca="1" si="1"/>
        <v>-69</v>
      </c>
      <c r="E19" s="90" t="s">
        <v>6</v>
      </c>
      <c r="F19" s="45"/>
      <c r="G19" s="46"/>
      <c r="H19" s="46"/>
      <c r="I19" s="151"/>
      <c r="J19" s="46"/>
      <c r="K19" s="152" t="str">
        <f t="shared" si="22"/>
        <v/>
      </c>
      <c r="L19" s="46"/>
      <c r="M19" s="46" t="str">
        <f t="shared" si="15"/>
        <v/>
      </c>
      <c r="N19" s="310"/>
      <c r="O19" s="171">
        <f t="shared" si="3"/>
        <v>1341.2199983906557</v>
      </c>
      <c r="P19" s="172">
        <f t="shared" si="16"/>
        <v>41574.659995171969</v>
      </c>
      <c r="Q19" s="128">
        <f t="shared" si="4"/>
        <v>41574.659995171969</v>
      </c>
      <c r="R19" s="128">
        <f t="shared" si="20"/>
        <v>0</v>
      </c>
      <c r="S19" s="195" t="str">
        <f t="shared" si="12"/>
        <v/>
      </c>
      <c r="T19" s="128"/>
      <c r="U19" s="128"/>
      <c r="V19" s="129" t="str">
        <f t="shared" si="17"/>
        <v/>
      </c>
      <c r="W19" s="129" t="str">
        <f t="shared" si="18"/>
        <v/>
      </c>
      <c r="X19" s="171">
        <f t="shared" si="21"/>
        <v>0</v>
      </c>
      <c r="Y19" s="171">
        <f t="shared" si="21"/>
        <v>0</v>
      </c>
      <c r="Z19" s="171">
        <f t="shared" si="21"/>
        <v>0</v>
      </c>
      <c r="AA19" s="186">
        <f t="shared" si="8"/>
        <v>0</v>
      </c>
      <c r="AB19" s="173">
        <f t="shared" si="13"/>
        <v>0</v>
      </c>
      <c r="AC19" s="79"/>
      <c r="AD19" s="76"/>
      <c r="AE19" s="76"/>
    </row>
    <row r="20" spans="1:31" ht="17" thickBot="1">
      <c r="A20" s="1"/>
      <c r="B20" s="43">
        <f t="shared" si="14"/>
        <v>45361</v>
      </c>
      <c r="C20" s="32">
        <f t="shared" si="19"/>
        <v>45361</v>
      </c>
      <c r="D20" s="44">
        <f t="shared" ca="1" si="1"/>
        <v>-70</v>
      </c>
      <c r="E20" s="93" t="s">
        <v>7</v>
      </c>
      <c r="F20" s="45"/>
      <c r="G20" s="46"/>
      <c r="H20" s="46"/>
      <c r="I20" s="151"/>
      <c r="J20" s="46"/>
      <c r="K20" s="152" t="str">
        <f t="shared" si="22"/>
        <v/>
      </c>
      <c r="L20" s="46"/>
      <c r="M20" s="46" t="str">
        <f t="shared" si="15"/>
        <v/>
      </c>
      <c r="N20" s="303"/>
      <c r="O20" s="171">
        <f t="shared" si="3"/>
        <v>1341.2199983906557</v>
      </c>
      <c r="P20" s="172">
        <f t="shared" si="16"/>
        <v>41574.659995171969</v>
      </c>
      <c r="Q20" s="128">
        <f t="shared" si="4"/>
        <v>41574.659995171969</v>
      </c>
      <c r="R20" s="128">
        <f t="shared" si="20"/>
        <v>0</v>
      </c>
      <c r="S20" s="195" t="str">
        <f t="shared" si="12"/>
        <v/>
      </c>
      <c r="T20" s="128"/>
      <c r="U20" s="128"/>
      <c r="V20" s="129" t="str">
        <f t="shared" si="17"/>
        <v/>
      </c>
      <c r="W20" s="129" t="str">
        <f t="shared" si="18"/>
        <v/>
      </c>
      <c r="X20" s="171">
        <f t="shared" si="21"/>
        <v>0</v>
      </c>
      <c r="Y20" s="171">
        <f t="shared" si="21"/>
        <v>0</v>
      </c>
      <c r="Z20" s="171">
        <f t="shared" si="21"/>
        <v>0</v>
      </c>
      <c r="AA20" s="186">
        <f t="shared" si="8"/>
        <v>0</v>
      </c>
      <c r="AB20" s="173">
        <f t="shared" si="13"/>
        <v>0</v>
      </c>
      <c r="AC20" s="79"/>
      <c r="AD20" s="76"/>
      <c r="AE20" s="76"/>
    </row>
    <row r="21" spans="1:31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71" t="str">
        <f t="shared" si="3"/>
        <v/>
      </c>
      <c r="P21" s="172"/>
      <c r="Q21" s="128">
        <f t="shared" si="4"/>
        <v>0</v>
      </c>
      <c r="R21" s="188"/>
      <c r="S21" s="195" t="str">
        <f t="shared" si="12"/>
        <v/>
      </c>
      <c r="T21" s="188"/>
      <c r="U21" s="188"/>
      <c r="V21" s="188"/>
      <c r="W21" s="188"/>
      <c r="X21" s="95"/>
      <c r="Y21" s="95"/>
      <c r="Z21" s="95"/>
      <c r="AA21" s="186">
        <f t="shared" si="8"/>
        <v>0</v>
      </c>
      <c r="AB21" s="173">
        <f t="shared" si="13"/>
        <v>0</v>
      </c>
      <c r="AC21" s="79"/>
      <c r="AD21" s="76"/>
      <c r="AE21" s="76"/>
    </row>
    <row r="22" spans="1:31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5.8334219067395843</v>
      </c>
      <c r="G22" s="53">
        <f>H22*1.0936113</f>
        <v>10266.8228844</v>
      </c>
      <c r="H22" s="104">
        <f>INT(SUM($O14:$O20))</f>
        <v>9388</v>
      </c>
      <c r="I22" s="120"/>
      <c r="J22" s="499"/>
      <c r="K22" s="500"/>
      <c r="L22" s="500"/>
      <c r="M22" s="500"/>
      <c r="N22" s="500"/>
      <c r="O22" s="171" t="str">
        <f t="shared" si="3"/>
        <v/>
      </c>
      <c r="P22" s="172"/>
      <c r="Q22" s="128">
        <f t="shared" si="4"/>
        <v>0</v>
      </c>
      <c r="R22" s="189"/>
      <c r="S22" s="195" t="str">
        <f t="shared" si="12"/>
        <v/>
      </c>
      <c r="T22" s="189"/>
      <c r="U22" s="189"/>
      <c r="V22" s="189"/>
      <c r="W22" s="189"/>
      <c r="X22" s="95"/>
      <c r="Y22" s="95"/>
      <c r="Z22" s="95"/>
      <c r="AA22" s="186">
        <f t="shared" si="8"/>
        <v>0</v>
      </c>
      <c r="AB22" s="173">
        <f t="shared" si="13"/>
        <v>0</v>
      </c>
      <c r="AC22" s="79"/>
      <c r="AD22" s="76"/>
      <c r="AE22" s="76"/>
    </row>
    <row r="23" spans="1:31" ht="17" thickTop="1">
      <c r="A23" s="1"/>
      <c r="B23" s="47">
        <f t="shared" ref="B23:B29" si="23">IF(B$2&gt;C23,0,C23)</f>
        <v>45362</v>
      </c>
      <c r="C23" s="31">
        <f>C20+1</f>
        <v>45362</v>
      </c>
      <c r="D23" s="18">
        <f t="shared" ca="1" si="1"/>
        <v>-71</v>
      </c>
      <c r="E23" s="94" t="s">
        <v>1</v>
      </c>
      <c r="F23" s="45"/>
      <c r="G23" s="46"/>
      <c r="H23" s="46"/>
      <c r="I23" s="151"/>
      <c r="J23" s="46"/>
      <c r="K23" s="152"/>
      <c r="L23" s="101"/>
      <c r="M23" s="46" t="str">
        <f t="shared" ref="M23:M29" si="24">IF(R23=0,"",IF(J23="","",L23))</f>
        <v/>
      </c>
      <c r="N23" s="301"/>
      <c r="O23" s="171">
        <f t="shared" si="3"/>
        <v>1341.2199983906557</v>
      </c>
      <c r="P23" s="172">
        <f t="shared" ref="P23:P29" si="25">H$56</f>
        <v>41574.659995171969</v>
      </c>
      <c r="Q23" s="128">
        <f t="shared" si="4"/>
        <v>41574.659995171969</v>
      </c>
      <c r="R23" s="128">
        <f>IF(R$2=3,H23+G23/1.0936133+F23/0.0006213712,IF(R$2=2,H23*1.0936133+G23+F23/0.0005681818,IF(R$2=1,H23*0.0005681818*1.0936133+G23*0.0005681818+F23,"")))</f>
        <v>0</v>
      </c>
      <c r="S23" s="195" t="str">
        <f t="shared" si="12"/>
        <v/>
      </c>
      <c r="T23" s="128"/>
      <c r="U23" s="128"/>
      <c r="V23" s="129" t="str">
        <f t="shared" ref="V23:V29" si="26">IF(L23="","",IF(R23=0,"",IF(B23=0,"",IF($R$2=3,R23/L23*60/1000,IF($R$2=2,R23/L23*60/1760,IF($R$2=1,R23/L23*60,""))))))</f>
        <v/>
      </c>
      <c r="W23" s="129" t="str">
        <f t="shared" ref="W23:W29" si="27">IF(R23=0,"",IF(L23="","",V23*L23))</f>
        <v/>
      </c>
      <c r="X23" s="171">
        <f>F23+X20</f>
        <v>0</v>
      </c>
      <c r="Y23" s="171">
        <f>G23+Y20</f>
        <v>0</v>
      </c>
      <c r="Z23" s="171">
        <f>H23+Z20</f>
        <v>0</v>
      </c>
      <c r="AA23" s="186">
        <f t="shared" si="8"/>
        <v>0</v>
      </c>
      <c r="AB23" s="173">
        <f t="shared" si="13"/>
        <v>0</v>
      </c>
      <c r="AC23" s="79"/>
      <c r="AD23" s="76"/>
      <c r="AE23" s="76"/>
    </row>
    <row r="24" spans="1:31">
      <c r="A24" s="1"/>
      <c r="B24" s="4">
        <f t="shared" si="23"/>
        <v>45363</v>
      </c>
      <c r="C24" s="29">
        <f t="shared" ref="C24:C29" si="28">C23+1</f>
        <v>45363</v>
      </c>
      <c r="D24" s="6">
        <f t="shared" ca="1" si="1"/>
        <v>-72</v>
      </c>
      <c r="E24" s="90" t="s">
        <v>2</v>
      </c>
      <c r="F24" s="45"/>
      <c r="G24" s="46"/>
      <c r="H24" s="46"/>
      <c r="I24" s="151"/>
      <c r="J24" s="46"/>
      <c r="K24" s="152"/>
      <c r="L24" s="46"/>
      <c r="M24" s="46" t="str">
        <f t="shared" si="24"/>
        <v/>
      </c>
      <c r="N24" s="301"/>
      <c r="O24" s="171">
        <f t="shared" si="3"/>
        <v>1341.2199983906557</v>
      </c>
      <c r="P24" s="172">
        <f t="shared" si="25"/>
        <v>41574.659995171969</v>
      </c>
      <c r="Q24" s="128">
        <f t="shared" si="4"/>
        <v>41574.659995171969</v>
      </c>
      <c r="R24" s="128">
        <f t="shared" ref="R24:R29" si="29">IF(R$2=3,H24+G24/1.0936133+F24/0.0006213712,IF(R$2=2,H24*1.0936133+G24+F24/0.0005681818,IF(R$2=1,H24*0.0005681818*1.0936133+G24*0.0005681818+F24,"")))</f>
        <v>0</v>
      </c>
      <c r="S24" s="195" t="str">
        <f t="shared" si="12"/>
        <v/>
      </c>
      <c r="T24" s="128"/>
      <c r="U24" s="128"/>
      <c r="V24" s="129" t="str">
        <f t="shared" si="26"/>
        <v/>
      </c>
      <c r="W24" s="129" t="str">
        <f t="shared" si="27"/>
        <v/>
      </c>
      <c r="X24" s="171">
        <f t="shared" ref="X24:Z29" si="30">F24+X23</f>
        <v>0</v>
      </c>
      <c r="Y24" s="171">
        <f t="shared" si="30"/>
        <v>0</v>
      </c>
      <c r="Z24" s="171">
        <f t="shared" si="30"/>
        <v>0</v>
      </c>
      <c r="AA24" s="186">
        <f t="shared" si="8"/>
        <v>0</v>
      </c>
      <c r="AB24" s="173">
        <f t="shared" si="13"/>
        <v>0</v>
      </c>
      <c r="AC24" s="79"/>
      <c r="AD24" s="76"/>
      <c r="AE24" s="76"/>
    </row>
    <row r="25" spans="1:31">
      <c r="A25" s="1"/>
      <c r="B25" s="4">
        <f t="shared" si="23"/>
        <v>45364</v>
      </c>
      <c r="C25" s="29">
        <f t="shared" si="28"/>
        <v>45364</v>
      </c>
      <c r="D25" s="6">
        <f t="shared" ca="1" si="1"/>
        <v>-73</v>
      </c>
      <c r="E25" s="90" t="s">
        <v>3</v>
      </c>
      <c r="F25" s="45"/>
      <c r="G25" s="46"/>
      <c r="H25" s="46"/>
      <c r="I25" s="151"/>
      <c r="J25" s="46"/>
      <c r="K25" s="152"/>
      <c r="L25" s="46"/>
      <c r="M25" s="46" t="str">
        <f t="shared" si="24"/>
        <v/>
      </c>
      <c r="N25" s="301"/>
      <c r="O25" s="171">
        <f t="shared" si="3"/>
        <v>1341.2199983906557</v>
      </c>
      <c r="P25" s="172">
        <f t="shared" si="25"/>
        <v>41574.659995171969</v>
      </c>
      <c r="Q25" s="128">
        <f t="shared" si="4"/>
        <v>41574.659995171969</v>
      </c>
      <c r="R25" s="128">
        <f t="shared" si="29"/>
        <v>0</v>
      </c>
      <c r="S25" s="195" t="str">
        <f t="shared" si="12"/>
        <v/>
      </c>
      <c r="T25" s="128"/>
      <c r="U25" s="128"/>
      <c r="V25" s="129" t="str">
        <f t="shared" si="26"/>
        <v/>
      </c>
      <c r="W25" s="129" t="str">
        <f t="shared" si="27"/>
        <v/>
      </c>
      <c r="X25" s="171">
        <f t="shared" si="30"/>
        <v>0</v>
      </c>
      <c r="Y25" s="171">
        <f t="shared" si="30"/>
        <v>0</v>
      </c>
      <c r="Z25" s="171">
        <f t="shared" si="30"/>
        <v>0</v>
      </c>
      <c r="AA25" s="186">
        <f t="shared" si="8"/>
        <v>0</v>
      </c>
      <c r="AB25" s="173">
        <f t="shared" si="13"/>
        <v>0</v>
      </c>
      <c r="AC25" s="79"/>
      <c r="AD25" s="76"/>
      <c r="AE25" s="76"/>
    </row>
    <row r="26" spans="1:31">
      <c r="A26" s="1"/>
      <c r="B26" s="4">
        <f t="shared" si="23"/>
        <v>45365</v>
      </c>
      <c r="C26" s="29">
        <f t="shared" si="28"/>
        <v>45365</v>
      </c>
      <c r="D26" s="6">
        <f t="shared" ca="1" si="1"/>
        <v>-74</v>
      </c>
      <c r="E26" s="90" t="s">
        <v>4</v>
      </c>
      <c r="F26" s="45"/>
      <c r="G26" s="46"/>
      <c r="H26" s="46"/>
      <c r="I26" s="151"/>
      <c r="J26" s="46"/>
      <c r="K26" s="152"/>
      <c r="L26" s="46"/>
      <c r="M26" s="46" t="str">
        <f t="shared" si="24"/>
        <v/>
      </c>
      <c r="N26" s="301"/>
      <c r="O26" s="171">
        <f t="shared" si="3"/>
        <v>1341.2199983906557</v>
      </c>
      <c r="P26" s="172">
        <f t="shared" si="25"/>
        <v>41574.659995171969</v>
      </c>
      <c r="Q26" s="128">
        <f t="shared" si="4"/>
        <v>41574.659995171969</v>
      </c>
      <c r="R26" s="128">
        <f t="shared" si="29"/>
        <v>0</v>
      </c>
      <c r="S26" s="195" t="str">
        <f t="shared" si="12"/>
        <v/>
      </c>
      <c r="T26" s="128"/>
      <c r="U26" s="128"/>
      <c r="V26" s="129" t="str">
        <f t="shared" si="26"/>
        <v/>
      </c>
      <c r="W26" s="129" t="str">
        <f t="shared" si="27"/>
        <v/>
      </c>
      <c r="X26" s="171">
        <f t="shared" si="30"/>
        <v>0</v>
      </c>
      <c r="Y26" s="171">
        <f t="shared" si="30"/>
        <v>0</v>
      </c>
      <c r="Z26" s="171">
        <f t="shared" si="30"/>
        <v>0</v>
      </c>
      <c r="AA26" s="186">
        <f t="shared" si="8"/>
        <v>0</v>
      </c>
      <c r="AB26" s="173">
        <f t="shared" si="13"/>
        <v>0</v>
      </c>
      <c r="AC26" s="79"/>
      <c r="AD26" s="76"/>
      <c r="AE26" s="76"/>
    </row>
    <row r="27" spans="1:31">
      <c r="A27" s="1"/>
      <c r="B27" s="4">
        <f t="shared" si="23"/>
        <v>45366</v>
      </c>
      <c r="C27" s="29">
        <f t="shared" si="28"/>
        <v>45366</v>
      </c>
      <c r="D27" s="6">
        <f t="shared" ca="1" si="1"/>
        <v>-75</v>
      </c>
      <c r="E27" s="90" t="s">
        <v>5</v>
      </c>
      <c r="F27" s="45"/>
      <c r="G27" s="46"/>
      <c r="H27" s="46"/>
      <c r="I27" s="151"/>
      <c r="J27" s="46"/>
      <c r="K27" s="152" t="str">
        <f t="shared" ref="K27:K29" si="31">IF(R27=0,"",IF(L27="","",J27))</f>
        <v/>
      </c>
      <c r="L27" s="46"/>
      <c r="M27" s="46" t="str">
        <f t="shared" si="24"/>
        <v/>
      </c>
      <c r="N27" s="301"/>
      <c r="O27" s="171">
        <f t="shared" si="3"/>
        <v>1341.2199983906557</v>
      </c>
      <c r="P27" s="172">
        <f t="shared" si="25"/>
        <v>41574.659995171969</v>
      </c>
      <c r="Q27" s="128">
        <f t="shared" si="4"/>
        <v>41574.659995171969</v>
      </c>
      <c r="R27" s="128">
        <f t="shared" si="29"/>
        <v>0</v>
      </c>
      <c r="S27" s="195" t="str">
        <f t="shared" si="12"/>
        <v/>
      </c>
      <c r="T27" s="128"/>
      <c r="U27" s="128"/>
      <c r="V27" s="129" t="str">
        <f t="shared" si="26"/>
        <v/>
      </c>
      <c r="W27" s="129" t="str">
        <f t="shared" si="27"/>
        <v/>
      </c>
      <c r="X27" s="171">
        <f t="shared" si="30"/>
        <v>0</v>
      </c>
      <c r="Y27" s="171">
        <f t="shared" si="30"/>
        <v>0</v>
      </c>
      <c r="Z27" s="171">
        <f t="shared" si="30"/>
        <v>0</v>
      </c>
      <c r="AA27" s="186">
        <f t="shared" si="8"/>
        <v>0</v>
      </c>
      <c r="AB27" s="173">
        <f t="shared" si="13"/>
        <v>0</v>
      </c>
      <c r="AC27" s="79"/>
      <c r="AD27" s="76"/>
      <c r="AE27" s="76"/>
    </row>
    <row r="28" spans="1:31">
      <c r="A28" s="1"/>
      <c r="B28" s="4">
        <f t="shared" si="23"/>
        <v>45367</v>
      </c>
      <c r="C28" s="29">
        <f t="shared" si="28"/>
        <v>45367</v>
      </c>
      <c r="D28" s="6">
        <f t="shared" ca="1" si="1"/>
        <v>-76</v>
      </c>
      <c r="E28" s="90" t="s">
        <v>6</v>
      </c>
      <c r="F28" s="45"/>
      <c r="G28" s="46"/>
      <c r="H28" s="46"/>
      <c r="I28" s="151"/>
      <c r="J28" s="46"/>
      <c r="K28" s="152" t="str">
        <f t="shared" si="31"/>
        <v/>
      </c>
      <c r="L28" s="46"/>
      <c r="M28" s="46" t="str">
        <f t="shared" si="24"/>
        <v/>
      </c>
      <c r="N28" s="301"/>
      <c r="O28" s="171">
        <f t="shared" si="3"/>
        <v>1341.2199983906557</v>
      </c>
      <c r="P28" s="172">
        <f t="shared" si="25"/>
        <v>41574.659995171969</v>
      </c>
      <c r="Q28" s="128">
        <f t="shared" si="4"/>
        <v>41574.659995171969</v>
      </c>
      <c r="R28" s="128">
        <f t="shared" si="29"/>
        <v>0</v>
      </c>
      <c r="S28" s="195" t="str">
        <f t="shared" si="12"/>
        <v/>
      </c>
      <c r="T28" s="128"/>
      <c r="U28" s="128"/>
      <c r="V28" s="129" t="str">
        <f t="shared" si="26"/>
        <v/>
      </c>
      <c r="W28" s="129" t="str">
        <f t="shared" si="27"/>
        <v/>
      </c>
      <c r="X28" s="171">
        <f t="shared" si="30"/>
        <v>0</v>
      </c>
      <c r="Y28" s="171">
        <f t="shared" si="30"/>
        <v>0</v>
      </c>
      <c r="Z28" s="171">
        <f t="shared" si="30"/>
        <v>0</v>
      </c>
      <c r="AA28" s="186">
        <f t="shared" si="8"/>
        <v>0</v>
      </c>
      <c r="AB28" s="173">
        <f t="shared" si="13"/>
        <v>0</v>
      </c>
      <c r="AC28" s="79"/>
      <c r="AD28" s="76"/>
      <c r="AE28" s="76"/>
    </row>
    <row r="29" spans="1:31" ht="17" thickBot="1">
      <c r="A29" s="1"/>
      <c r="B29" s="43">
        <f t="shared" si="23"/>
        <v>45368</v>
      </c>
      <c r="C29" s="32">
        <f t="shared" si="28"/>
        <v>45368</v>
      </c>
      <c r="D29" s="44">
        <f t="shared" ca="1" si="1"/>
        <v>-77</v>
      </c>
      <c r="E29" s="93" t="s">
        <v>7</v>
      </c>
      <c r="F29" s="45"/>
      <c r="G29" s="46"/>
      <c r="H29" s="46"/>
      <c r="I29" s="151"/>
      <c r="J29" s="46"/>
      <c r="K29" s="152" t="str">
        <f t="shared" si="31"/>
        <v/>
      </c>
      <c r="L29" s="46"/>
      <c r="M29" s="46" t="str">
        <f t="shared" si="24"/>
        <v/>
      </c>
      <c r="N29" s="301"/>
      <c r="O29" s="171">
        <f t="shared" si="3"/>
        <v>1341.2199983906557</v>
      </c>
      <c r="P29" s="172">
        <f t="shared" si="25"/>
        <v>41574.659995171969</v>
      </c>
      <c r="Q29" s="128">
        <f t="shared" si="4"/>
        <v>41574.659995171969</v>
      </c>
      <c r="R29" s="128">
        <f t="shared" si="29"/>
        <v>0</v>
      </c>
      <c r="S29" s="195" t="str">
        <f t="shared" si="12"/>
        <v/>
      </c>
      <c r="T29" s="128"/>
      <c r="U29" s="128"/>
      <c r="V29" s="129" t="str">
        <f t="shared" si="26"/>
        <v/>
      </c>
      <c r="W29" s="129" t="str">
        <f t="shared" si="27"/>
        <v/>
      </c>
      <c r="X29" s="171">
        <f t="shared" si="30"/>
        <v>0</v>
      </c>
      <c r="Y29" s="171">
        <f t="shared" si="30"/>
        <v>0</v>
      </c>
      <c r="Z29" s="171">
        <f t="shared" si="30"/>
        <v>0</v>
      </c>
      <c r="AA29" s="186">
        <f t="shared" si="8"/>
        <v>0</v>
      </c>
      <c r="AB29" s="173">
        <f t="shared" si="13"/>
        <v>0</v>
      </c>
      <c r="AC29" s="79"/>
      <c r="AD29" s="76"/>
      <c r="AE29" s="76"/>
    </row>
    <row r="30" spans="1:31" ht="17" customHeight="1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71" t="str">
        <f t="shared" si="3"/>
        <v/>
      </c>
      <c r="P30" s="172"/>
      <c r="Q30" s="128">
        <f t="shared" si="4"/>
        <v>0</v>
      </c>
      <c r="R30" s="188"/>
      <c r="S30" s="195" t="str">
        <f t="shared" si="12"/>
        <v/>
      </c>
      <c r="T30" s="188"/>
      <c r="U30" s="188"/>
      <c r="V30" s="188"/>
      <c r="W30" s="188"/>
      <c r="X30" s="95"/>
      <c r="Y30" s="95"/>
      <c r="Z30" s="95"/>
      <c r="AA30" s="186">
        <f t="shared" si="8"/>
        <v>0</v>
      </c>
      <c r="AB30" s="173">
        <f t="shared" si="13"/>
        <v>0</v>
      </c>
      <c r="AC30" s="79"/>
      <c r="AD30" s="76"/>
      <c r="AE30" s="76"/>
    </row>
    <row r="31" spans="1:31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5.8334219067395843</v>
      </c>
      <c r="G31" s="53">
        <f>H31*1.0936113</f>
        <v>10266.8228844</v>
      </c>
      <c r="H31" s="104">
        <f>INT(SUM($O23:$O29))</f>
        <v>9388</v>
      </c>
      <c r="I31" s="120"/>
      <c r="J31" s="503"/>
      <c r="K31" s="504"/>
      <c r="L31" s="504"/>
      <c r="M31" s="271"/>
      <c r="N31" s="506"/>
      <c r="O31" s="171" t="str">
        <f t="shared" si="3"/>
        <v/>
      </c>
      <c r="P31" s="172"/>
      <c r="Q31" s="128">
        <f t="shared" si="4"/>
        <v>0</v>
      </c>
      <c r="R31" s="189"/>
      <c r="S31" s="195" t="str">
        <f t="shared" si="12"/>
        <v/>
      </c>
      <c r="T31" s="189"/>
      <c r="U31" s="189"/>
      <c r="V31" s="189"/>
      <c r="W31" s="189"/>
      <c r="X31" s="95"/>
      <c r="Y31" s="95"/>
      <c r="Z31" s="95"/>
      <c r="AA31" s="186">
        <f t="shared" si="8"/>
        <v>0</v>
      </c>
      <c r="AB31" s="173">
        <f t="shared" si="13"/>
        <v>0</v>
      </c>
      <c r="AC31" s="79"/>
      <c r="AD31" s="76"/>
      <c r="AE31" s="76"/>
    </row>
    <row r="32" spans="1:31" ht="17" thickTop="1">
      <c r="A32" s="1"/>
      <c r="B32" s="47">
        <f t="shared" ref="B32:B38" si="32">IF(B$2&gt;C32,0,C32)</f>
        <v>45369</v>
      </c>
      <c r="C32" s="31">
        <f>C29+1</f>
        <v>45369</v>
      </c>
      <c r="D32" s="18">
        <f t="shared" ca="1" si="1"/>
        <v>-78</v>
      </c>
      <c r="E32" s="94" t="s">
        <v>1</v>
      </c>
      <c r="F32" s="45"/>
      <c r="G32" s="46"/>
      <c r="H32" s="46"/>
      <c r="I32" s="151"/>
      <c r="J32" s="46"/>
      <c r="K32" s="152" t="str">
        <f t="shared" ref="K32" si="33">IF(R32=0,"",IF(L32="","",J32))</f>
        <v/>
      </c>
      <c r="L32" s="121"/>
      <c r="M32" s="46" t="str">
        <f>IF(R32=0,"",IF(J32="","",L32))</f>
        <v/>
      </c>
      <c r="N32" s="301"/>
      <c r="O32" s="171">
        <f t="shared" si="3"/>
        <v>1341.2199983906557</v>
      </c>
      <c r="P32" s="172">
        <f t="shared" ref="P32:P38" si="34">H$56</f>
        <v>41574.659995171969</v>
      </c>
      <c r="Q32" s="128">
        <f t="shared" si="4"/>
        <v>41574.659995171969</v>
      </c>
      <c r="R32" s="128">
        <f>IF(R$2=3,H32+G32/1.0936133+F32/0.0006213712,IF(R$2=2,H32*1.0936133+G32+F32/0.0005681818,IF(R$2=1,H32*0.0005681818*1.0936133+G32*0.0005681818+F32,"")))</f>
        <v>0</v>
      </c>
      <c r="S32" s="195" t="str">
        <f t="shared" si="12"/>
        <v/>
      </c>
      <c r="T32" s="128"/>
      <c r="U32" s="128"/>
      <c r="V32" s="129" t="str">
        <f t="shared" ref="V32:V38" si="35">IF(L32="","",IF(R32=0,"",IF(B32=0,"",IF($R$2=3,R32/L32*60/1000,IF($R$2=2,R32/L32*60/1760,IF($R$2=1,R32/L32*60,""))))))</f>
        <v/>
      </c>
      <c r="W32" s="129" t="str">
        <f t="shared" ref="W32:W38" si="36">IF(R32=0,"",IF(L32="","",V32*L32))</f>
        <v/>
      </c>
      <c r="X32" s="171">
        <f>F32+X29</f>
        <v>0</v>
      </c>
      <c r="Y32" s="171">
        <f>G32+Y29</f>
        <v>0</v>
      </c>
      <c r="Z32" s="171">
        <f>H32+Z29</f>
        <v>0</v>
      </c>
      <c r="AA32" s="186">
        <f t="shared" si="8"/>
        <v>0</v>
      </c>
      <c r="AB32" s="173">
        <f t="shared" si="13"/>
        <v>0</v>
      </c>
      <c r="AC32" s="79"/>
      <c r="AD32" s="76"/>
      <c r="AE32" s="76"/>
    </row>
    <row r="33" spans="1:31">
      <c r="A33" s="1"/>
      <c r="B33" s="4">
        <f t="shared" si="32"/>
        <v>45370</v>
      </c>
      <c r="C33" s="29">
        <f t="shared" ref="C33:C38" si="37">C32+1</f>
        <v>45370</v>
      </c>
      <c r="D33" s="6">
        <f t="shared" ca="1" si="1"/>
        <v>-79</v>
      </c>
      <c r="E33" s="90" t="s">
        <v>2</v>
      </c>
      <c r="F33" s="45"/>
      <c r="G33" s="46"/>
      <c r="H33" s="46"/>
      <c r="I33" s="151"/>
      <c r="J33" s="46"/>
      <c r="K33" s="152"/>
      <c r="L33" s="46"/>
      <c r="M33" s="46" t="str">
        <f t="shared" ref="M33:M38" si="38">IF(R33=0,"",IF(J33="","",L33))</f>
        <v/>
      </c>
      <c r="N33" s="301"/>
      <c r="O33" s="171">
        <f t="shared" si="3"/>
        <v>1341.2199983906557</v>
      </c>
      <c r="P33" s="172">
        <f t="shared" si="34"/>
        <v>41574.659995171969</v>
      </c>
      <c r="Q33" s="128">
        <f t="shared" si="4"/>
        <v>41574.659995171969</v>
      </c>
      <c r="R33" s="128">
        <f t="shared" ref="R33:R38" si="39">IF(R$2=3,H33+G33/1.0936133+F33/0.0006213712,IF(R$2=2,H33*1.0936133+G33+F33/0.0005681818,IF(R$2=1,H33*0.0005681818*1.0936133+G33*0.0005681818+F33,"")))</f>
        <v>0</v>
      </c>
      <c r="S33" s="195" t="str">
        <f t="shared" si="12"/>
        <v/>
      </c>
      <c r="T33" s="128"/>
      <c r="U33" s="128"/>
      <c r="V33" s="129" t="str">
        <f t="shared" si="35"/>
        <v/>
      </c>
      <c r="W33" s="129" t="str">
        <f t="shared" si="36"/>
        <v/>
      </c>
      <c r="X33" s="171">
        <f t="shared" ref="X33:Z38" si="40">F33+X32</f>
        <v>0</v>
      </c>
      <c r="Y33" s="171">
        <f t="shared" si="40"/>
        <v>0</v>
      </c>
      <c r="Z33" s="171">
        <f t="shared" si="40"/>
        <v>0</v>
      </c>
      <c r="AA33" s="186">
        <f t="shared" si="8"/>
        <v>0</v>
      </c>
      <c r="AB33" s="173">
        <f t="shared" si="13"/>
        <v>0</v>
      </c>
      <c r="AC33" s="79"/>
      <c r="AD33" s="76"/>
      <c r="AE33" s="76"/>
    </row>
    <row r="34" spans="1:31">
      <c r="A34" s="1"/>
      <c r="B34" s="4">
        <f t="shared" si="32"/>
        <v>45371</v>
      </c>
      <c r="C34" s="29">
        <f t="shared" si="37"/>
        <v>45371</v>
      </c>
      <c r="D34" s="6">
        <f t="shared" ca="1" si="1"/>
        <v>-80</v>
      </c>
      <c r="E34" s="90" t="s">
        <v>3</v>
      </c>
      <c r="F34" s="45"/>
      <c r="G34" s="46"/>
      <c r="H34" s="46"/>
      <c r="I34" s="151"/>
      <c r="J34" s="46"/>
      <c r="K34" s="152"/>
      <c r="L34" s="46"/>
      <c r="M34" s="46" t="str">
        <f t="shared" si="38"/>
        <v/>
      </c>
      <c r="N34" s="301"/>
      <c r="O34" s="171">
        <f t="shared" si="3"/>
        <v>1341.2199983906557</v>
      </c>
      <c r="P34" s="172">
        <f t="shared" si="34"/>
        <v>41574.659995171969</v>
      </c>
      <c r="Q34" s="128">
        <f t="shared" si="4"/>
        <v>41574.659995171969</v>
      </c>
      <c r="R34" s="128">
        <f t="shared" si="39"/>
        <v>0</v>
      </c>
      <c r="S34" s="195" t="str">
        <f t="shared" si="12"/>
        <v/>
      </c>
      <c r="T34" s="128"/>
      <c r="U34" s="128"/>
      <c r="V34" s="129" t="str">
        <f t="shared" si="35"/>
        <v/>
      </c>
      <c r="W34" s="129" t="str">
        <f t="shared" si="36"/>
        <v/>
      </c>
      <c r="X34" s="171">
        <f t="shared" si="40"/>
        <v>0</v>
      </c>
      <c r="Y34" s="171">
        <f t="shared" si="40"/>
        <v>0</v>
      </c>
      <c r="Z34" s="171">
        <f t="shared" si="40"/>
        <v>0</v>
      </c>
      <c r="AA34" s="186">
        <f t="shared" si="8"/>
        <v>0</v>
      </c>
      <c r="AB34" s="173">
        <f t="shared" si="13"/>
        <v>0</v>
      </c>
      <c r="AC34" s="79"/>
      <c r="AD34" s="76"/>
      <c r="AE34" s="76"/>
    </row>
    <row r="35" spans="1:31">
      <c r="A35" s="1"/>
      <c r="B35" s="4">
        <f t="shared" si="32"/>
        <v>45372</v>
      </c>
      <c r="C35" s="29">
        <f t="shared" si="37"/>
        <v>45372</v>
      </c>
      <c r="D35" s="6">
        <f t="shared" ca="1" si="1"/>
        <v>-81</v>
      </c>
      <c r="E35" s="90" t="s">
        <v>4</v>
      </c>
      <c r="F35" s="45"/>
      <c r="G35" s="46"/>
      <c r="H35" s="46"/>
      <c r="I35" s="151"/>
      <c r="J35" s="46"/>
      <c r="K35" s="152"/>
      <c r="L35" s="46"/>
      <c r="M35" s="46" t="str">
        <f t="shared" si="38"/>
        <v/>
      </c>
      <c r="N35" s="310"/>
      <c r="O35" s="171">
        <f t="shared" si="3"/>
        <v>1341.2199983906557</v>
      </c>
      <c r="P35" s="172">
        <f t="shared" si="34"/>
        <v>41574.659995171969</v>
      </c>
      <c r="Q35" s="128">
        <f t="shared" si="4"/>
        <v>41574.659995171969</v>
      </c>
      <c r="R35" s="128">
        <f t="shared" si="39"/>
        <v>0</v>
      </c>
      <c r="S35" s="195" t="str">
        <f t="shared" si="12"/>
        <v/>
      </c>
      <c r="T35" s="128"/>
      <c r="U35" s="128"/>
      <c r="V35" s="129" t="str">
        <f t="shared" si="35"/>
        <v/>
      </c>
      <c r="W35" s="129" t="str">
        <f t="shared" si="36"/>
        <v/>
      </c>
      <c r="X35" s="171">
        <f t="shared" si="40"/>
        <v>0</v>
      </c>
      <c r="Y35" s="171">
        <f t="shared" si="40"/>
        <v>0</v>
      </c>
      <c r="Z35" s="171">
        <f t="shared" si="40"/>
        <v>0</v>
      </c>
      <c r="AA35" s="186">
        <f t="shared" si="8"/>
        <v>0</v>
      </c>
      <c r="AB35" s="173">
        <f t="shared" si="13"/>
        <v>0</v>
      </c>
      <c r="AC35" s="79"/>
      <c r="AD35" s="76"/>
      <c r="AE35" s="76"/>
    </row>
    <row r="36" spans="1:31">
      <c r="A36" s="1"/>
      <c r="B36" s="4">
        <f t="shared" si="32"/>
        <v>45373</v>
      </c>
      <c r="C36" s="29">
        <f t="shared" si="37"/>
        <v>45373</v>
      </c>
      <c r="D36" s="6">
        <f t="shared" ca="1" si="1"/>
        <v>-82</v>
      </c>
      <c r="E36" s="90" t="s">
        <v>5</v>
      </c>
      <c r="F36" s="45"/>
      <c r="G36" s="46"/>
      <c r="H36" s="46"/>
      <c r="I36" s="151"/>
      <c r="J36" s="46"/>
      <c r="K36" s="152"/>
      <c r="L36" s="46"/>
      <c r="M36" s="46" t="str">
        <f t="shared" si="38"/>
        <v/>
      </c>
      <c r="N36" s="301"/>
      <c r="O36" s="171">
        <f t="shared" si="3"/>
        <v>1341.2199983906557</v>
      </c>
      <c r="P36" s="172">
        <f t="shared" si="34"/>
        <v>41574.659995171969</v>
      </c>
      <c r="Q36" s="128">
        <f t="shared" si="4"/>
        <v>41574.659995171969</v>
      </c>
      <c r="R36" s="128">
        <f t="shared" si="39"/>
        <v>0</v>
      </c>
      <c r="S36" s="195" t="str">
        <f t="shared" si="12"/>
        <v/>
      </c>
      <c r="T36" s="128"/>
      <c r="U36" s="128"/>
      <c r="V36" s="129" t="str">
        <f t="shared" si="35"/>
        <v/>
      </c>
      <c r="W36" s="129" t="str">
        <f t="shared" si="36"/>
        <v/>
      </c>
      <c r="X36" s="171">
        <f t="shared" si="40"/>
        <v>0</v>
      </c>
      <c r="Y36" s="171">
        <f t="shared" si="40"/>
        <v>0</v>
      </c>
      <c r="Z36" s="171">
        <f t="shared" si="40"/>
        <v>0</v>
      </c>
      <c r="AA36" s="186">
        <f t="shared" si="8"/>
        <v>0</v>
      </c>
      <c r="AB36" s="173">
        <f t="shared" si="13"/>
        <v>0</v>
      </c>
      <c r="AC36" s="79"/>
      <c r="AD36" s="76"/>
      <c r="AE36" s="76"/>
    </row>
    <row r="37" spans="1:31">
      <c r="A37" s="1"/>
      <c r="B37" s="4">
        <f t="shared" si="32"/>
        <v>45374</v>
      </c>
      <c r="C37" s="29">
        <f t="shared" si="37"/>
        <v>45374</v>
      </c>
      <c r="D37" s="6">
        <f t="shared" ca="1" si="1"/>
        <v>-83</v>
      </c>
      <c r="E37" s="90" t="s">
        <v>6</v>
      </c>
      <c r="F37" s="45"/>
      <c r="G37" s="46"/>
      <c r="H37" s="46"/>
      <c r="I37" s="151"/>
      <c r="J37" s="46"/>
      <c r="K37" s="152"/>
      <c r="L37" s="46"/>
      <c r="M37" s="46" t="str">
        <f t="shared" si="38"/>
        <v/>
      </c>
      <c r="N37" s="310"/>
      <c r="O37" s="171">
        <f t="shared" si="3"/>
        <v>1341.2199983906557</v>
      </c>
      <c r="P37" s="172">
        <f t="shared" si="34"/>
        <v>41574.659995171969</v>
      </c>
      <c r="Q37" s="128">
        <f t="shared" si="4"/>
        <v>41574.659995171969</v>
      </c>
      <c r="R37" s="128">
        <f t="shared" si="39"/>
        <v>0</v>
      </c>
      <c r="S37" s="195" t="str">
        <f t="shared" si="12"/>
        <v/>
      </c>
      <c r="T37" s="128"/>
      <c r="U37" s="128"/>
      <c r="V37" s="129" t="str">
        <f t="shared" si="35"/>
        <v/>
      </c>
      <c r="W37" s="129" t="str">
        <f t="shared" si="36"/>
        <v/>
      </c>
      <c r="X37" s="171">
        <f t="shared" si="40"/>
        <v>0</v>
      </c>
      <c r="Y37" s="171">
        <f t="shared" si="40"/>
        <v>0</v>
      </c>
      <c r="Z37" s="171">
        <f t="shared" si="40"/>
        <v>0</v>
      </c>
      <c r="AA37" s="186">
        <f t="shared" si="8"/>
        <v>0</v>
      </c>
      <c r="AB37" s="173">
        <f t="shared" si="13"/>
        <v>0</v>
      </c>
      <c r="AC37" s="79"/>
      <c r="AD37" s="76"/>
      <c r="AE37" s="76"/>
    </row>
    <row r="38" spans="1:31" ht="17" thickBot="1">
      <c r="A38" s="1"/>
      <c r="B38" s="43">
        <f t="shared" si="32"/>
        <v>45375</v>
      </c>
      <c r="C38" s="32">
        <f t="shared" si="37"/>
        <v>45375</v>
      </c>
      <c r="D38" s="44">
        <f t="shared" ca="1" si="1"/>
        <v>-84</v>
      </c>
      <c r="E38" s="93" t="s">
        <v>7</v>
      </c>
      <c r="F38" s="45"/>
      <c r="G38" s="46"/>
      <c r="H38" s="46"/>
      <c r="I38" s="151"/>
      <c r="J38" s="46"/>
      <c r="K38" s="152"/>
      <c r="L38" s="46"/>
      <c r="M38" s="46" t="str">
        <f t="shared" si="38"/>
        <v/>
      </c>
      <c r="N38" s="303"/>
      <c r="O38" s="171">
        <f t="shared" si="3"/>
        <v>1341.2199983906557</v>
      </c>
      <c r="P38" s="172">
        <f t="shared" si="34"/>
        <v>41574.659995171969</v>
      </c>
      <c r="Q38" s="128">
        <f t="shared" si="4"/>
        <v>41574.659995171969</v>
      </c>
      <c r="R38" s="128">
        <f t="shared" si="39"/>
        <v>0</v>
      </c>
      <c r="S38" s="195" t="str">
        <f t="shared" si="12"/>
        <v/>
      </c>
      <c r="T38" s="128"/>
      <c r="U38" s="128"/>
      <c r="V38" s="129" t="str">
        <f t="shared" si="35"/>
        <v/>
      </c>
      <c r="W38" s="129" t="str">
        <f t="shared" si="36"/>
        <v/>
      </c>
      <c r="X38" s="171">
        <f t="shared" si="40"/>
        <v>0</v>
      </c>
      <c r="Y38" s="171">
        <f t="shared" si="40"/>
        <v>0</v>
      </c>
      <c r="Z38" s="171">
        <f t="shared" si="40"/>
        <v>0</v>
      </c>
      <c r="AA38" s="186">
        <f t="shared" si="8"/>
        <v>0</v>
      </c>
      <c r="AB38" s="173">
        <f t="shared" si="13"/>
        <v>0</v>
      </c>
      <c r="AC38" s="79"/>
      <c r="AD38" s="76"/>
      <c r="AE38" s="76"/>
    </row>
    <row r="39" spans="1:31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71" t="str">
        <f t="shared" si="3"/>
        <v/>
      </c>
      <c r="P39" s="172"/>
      <c r="Q39" s="128">
        <f t="shared" si="4"/>
        <v>0</v>
      </c>
      <c r="R39" s="188"/>
      <c r="S39" s="195" t="str">
        <f t="shared" si="12"/>
        <v/>
      </c>
      <c r="T39" s="188"/>
      <c r="U39" s="188"/>
      <c r="V39" s="188"/>
      <c r="W39" s="188"/>
      <c r="X39" s="95"/>
      <c r="Y39" s="95"/>
      <c r="Z39" s="95"/>
      <c r="AA39" s="186">
        <f t="shared" si="8"/>
        <v>0</v>
      </c>
      <c r="AB39" s="173">
        <f t="shared" si="13"/>
        <v>0</v>
      </c>
      <c r="AC39" s="79"/>
      <c r="AD39" s="76"/>
      <c r="AE39" s="76"/>
    </row>
    <row r="40" spans="1:31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5.8334219067395843</v>
      </c>
      <c r="G40" s="53">
        <f>H40*1.0936113</f>
        <v>10266.8228844</v>
      </c>
      <c r="H40" s="5">
        <f>INT(SUM($O32:$O38))</f>
        <v>9388</v>
      </c>
      <c r="I40" s="120"/>
      <c r="J40" s="123"/>
      <c r="K40" s="124"/>
      <c r="L40" s="159">
        <f>COUNT(S5:S51)-COUNT(V5:V51)</f>
        <v>0</v>
      </c>
      <c r="M40" s="124"/>
      <c r="N40" s="124"/>
      <c r="O40" s="171" t="str">
        <f t="shared" si="3"/>
        <v/>
      </c>
      <c r="P40" s="172"/>
      <c r="Q40" s="128">
        <f t="shared" si="4"/>
        <v>0</v>
      </c>
      <c r="R40" s="189"/>
      <c r="S40" s="195" t="str">
        <f t="shared" si="12"/>
        <v/>
      </c>
      <c r="T40" s="189"/>
      <c r="U40" s="189"/>
      <c r="V40" s="189"/>
      <c r="W40" s="189"/>
      <c r="X40" s="95"/>
      <c r="Y40" s="95"/>
      <c r="Z40" s="95"/>
      <c r="AA40" s="186">
        <f t="shared" si="8"/>
        <v>0</v>
      </c>
      <c r="AB40" s="173">
        <f t="shared" si="13"/>
        <v>0</v>
      </c>
      <c r="AC40" s="79"/>
      <c r="AD40" s="76"/>
      <c r="AE40" s="76"/>
    </row>
    <row r="41" spans="1:31" ht="17" thickTop="1">
      <c r="A41" s="1"/>
      <c r="B41" s="47">
        <f t="shared" ref="B41:B47" si="41">IF(B$3&lt;C41,0,C41)</f>
        <v>45376</v>
      </c>
      <c r="C41" s="31">
        <f>C38+1</f>
        <v>45376</v>
      </c>
      <c r="D41" s="18">
        <f t="shared" ca="1" si="1"/>
        <v>-85</v>
      </c>
      <c r="E41" s="94" t="str">
        <f>IF(B41=0,"","Monday")</f>
        <v>Monday</v>
      </c>
      <c r="F41" s="45"/>
      <c r="G41" s="46"/>
      <c r="H41" s="46"/>
      <c r="I41" s="151"/>
      <c r="J41" s="101"/>
      <c r="K41" s="152"/>
      <c r="L41" s="101"/>
      <c r="M41" s="46" t="str">
        <f>IF(R41=0,"",IF(J41="","",L41))</f>
        <v/>
      </c>
      <c r="N41" s="301"/>
      <c r="O41" s="171">
        <f t="shared" si="3"/>
        <v>1341.2199983906557</v>
      </c>
      <c r="P41" s="172">
        <f t="shared" ref="P41:P47" si="42">H$56</f>
        <v>41574.659995171969</v>
      </c>
      <c r="Q41" s="128">
        <f t="shared" si="4"/>
        <v>41574.659995171969</v>
      </c>
      <c r="R41" s="128">
        <f>IF(R$2=3,H41+G41/1.0936133+F41/0.0006213712,IF(R$2=2,H41*1.0936133+G41+F41/0.0005681818,IF(R$2=1,H41*0.0005681818*1.0936133+G41*0.0005681818+F41,"")))</f>
        <v>0</v>
      </c>
      <c r="S41" s="195" t="str">
        <f t="shared" si="12"/>
        <v/>
      </c>
      <c r="T41" s="128"/>
      <c r="U41" s="128"/>
      <c r="V41" s="129" t="str">
        <f t="shared" ref="V41:V47" si="43">IF(L41="","",IF(R41=0,"",IF(B41=0,"",IF($R$2=3,R41/L41*60/1000,IF($R$2=2,R41/L41*60/1760,IF($R$2=1,R41/L41*60,""))))))</f>
        <v/>
      </c>
      <c r="W41" s="129" t="str">
        <f t="shared" ref="W41:W47" si="44">IF(R41=0,"",IF(L41="","",V41*L41))</f>
        <v/>
      </c>
      <c r="X41" s="171">
        <f>F41+X38</f>
        <v>0</v>
      </c>
      <c r="Y41" s="171">
        <f>G41+Y38</f>
        <v>0</v>
      </c>
      <c r="Z41" s="171">
        <f>H41+Z38</f>
        <v>0</v>
      </c>
      <c r="AA41" s="186">
        <f t="shared" si="8"/>
        <v>0</v>
      </c>
      <c r="AB41" s="173">
        <f t="shared" si="13"/>
        <v>0</v>
      </c>
      <c r="AC41" s="79"/>
      <c r="AD41" s="76"/>
      <c r="AE41" s="76"/>
    </row>
    <row r="42" spans="1:31">
      <c r="A42" s="1"/>
      <c r="B42" s="4">
        <f t="shared" si="41"/>
        <v>45377</v>
      </c>
      <c r="C42" s="29">
        <f t="shared" ref="C42:C47" si="45">C41+1</f>
        <v>45377</v>
      </c>
      <c r="D42" s="6">
        <f t="shared" ca="1" si="1"/>
        <v>-86</v>
      </c>
      <c r="E42" s="90" t="str">
        <f>IF(B42=0,"","Tuesday")</f>
        <v>Tuesday</v>
      </c>
      <c r="F42" s="45"/>
      <c r="G42" s="46"/>
      <c r="H42" s="46"/>
      <c r="I42" s="151"/>
      <c r="J42" s="46"/>
      <c r="K42" s="152"/>
      <c r="L42" s="46"/>
      <c r="M42" s="46" t="str">
        <f t="shared" ref="M42:M47" si="46">IF(R42=0,"",IF(J42="","",L42))</f>
        <v/>
      </c>
      <c r="N42" s="301"/>
      <c r="O42" s="171">
        <f t="shared" si="3"/>
        <v>1341.2199983906557</v>
      </c>
      <c r="P42" s="172">
        <f t="shared" si="42"/>
        <v>41574.659995171969</v>
      </c>
      <c r="Q42" s="128">
        <f t="shared" si="4"/>
        <v>41574.659995171969</v>
      </c>
      <c r="R42" s="128">
        <f t="shared" ref="R42:R47" si="47">IF(R$2=3,H42+G42/1.0936133+F42/0.0006213712,IF(R$2=2,H42*1.0936133+G42+F42/0.0005681818,IF(R$2=1,H42*0.0005681818*1.0936133+G42*0.0005681818+F42,"")))</f>
        <v>0</v>
      </c>
      <c r="S42" s="195" t="str">
        <f t="shared" si="12"/>
        <v/>
      </c>
      <c r="T42" s="128"/>
      <c r="U42" s="128"/>
      <c r="V42" s="129" t="str">
        <f t="shared" si="43"/>
        <v/>
      </c>
      <c r="W42" s="129" t="str">
        <f t="shared" si="44"/>
        <v/>
      </c>
      <c r="X42" s="171">
        <f t="shared" ref="X42:Z47" si="48">F42+X41</f>
        <v>0</v>
      </c>
      <c r="Y42" s="171">
        <f t="shared" si="48"/>
        <v>0</v>
      </c>
      <c r="Z42" s="171">
        <f t="shared" si="48"/>
        <v>0</v>
      </c>
      <c r="AA42" s="186">
        <f t="shared" si="8"/>
        <v>0</v>
      </c>
      <c r="AB42" s="173">
        <f t="shared" si="13"/>
        <v>0</v>
      </c>
      <c r="AC42" s="79"/>
      <c r="AD42" s="76"/>
      <c r="AE42" s="76"/>
    </row>
    <row r="43" spans="1:31">
      <c r="A43" s="1"/>
      <c r="B43" s="4">
        <f t="shared" si="41"/>
        <v>45378</v>
      </c>
      <c r="C43" s="29">
        <f t="shared" si="45"/>
        <v>45378</v>
      </c>
      <c r="D43" s="6">
        <f t="shared" ca="1" si="1"/>
        <v>-87</v>
      </c>
      <c r="E43" s="90" t="str">
        <f>IF(B43=0,"","Wednesday")</f>
        <v>Wednesday</v>
      </c>
      <c r="F43" s="45"/>
      <c r="G43" s="46"/>
      <c r="H43" s="46"/>
      <c r="I43" s="151"/>
      <c r="J43" s="46"/>
      <c r="K43" s="152"/>
      <c r="L43" s="46"/>
      <c r="M43" s="46" t="str">
        <f t="shared" si="46"/>
        <v/>
      </c>
      <c r="N43" s="301"/>
      <c r="O43" s="171">
        <f t="shared" si="3"/>
        <v>1341.2199983906557</v>
      </c>
      <c r="P43" s="172">
        <f t="shared" si="42"/>
        <v>41574.659995171969</v>
      </c>
      <c r="Q43" s="128">
        <f t="shared" si="4"/>
        <v>41574.659995171969</v>
      </c>
      <c r="R43" s="128">
        <f t="shared" si="47"/>
        <v>0</v>
      </c>
      <c r="S43" s="195" t="str">
        <f t="shared" si="12"/>
        <v/>
      </c>
      <c r="T43" s="128"/>
      <c r="U43" s="128"/>
      <c r="V43" s="129" t="str">
        <f t="shared" si="43"/>
        <v/>
      </c>
      <c r="W43" s="129" t="str">
        <f t="shared" si="44"/>
        <v/>
      </c>
      <c r="X43" s="171">
        <f t="shared" si="48"/>
        <v>0</v>
      </c>
      <c r="Y43" s="171">
        <f t="shared" si="48"/>
        <v>0</v>
      </c>
      <c r="Z43" s="171">
        <f t="shared" si="48"/>
        <v>0</v>
      </c>
      <c r="AA43" s="186">
        <f t="shared" si="8"/>
        <v>0</v>
      </c>
      <c r="AB43" s="173">
        <f t="shared" si="13"/>
        <v>0</v>
      </c>
      <c r="AC43" s="79"/>
      <c r="AD43" s="76"/>
      <c r="AE43" s="76"/>
    </row>
    <row r="44" spans="1:31">
      <c r="A44" s="1"/>
      <c r="B44" s="4">
        <f t="shared" si="41"/>
        <v>45379</v>
      </c>
      <c r="C44" s="29">
        <f t="shared" si="45"/>
        <v>45379</v>
      </c>
      <c r="D44" s="6">
        <f t="shared" ca="1" si="1"/>
        <v>-88</v>
      </c>
      <c r="E44" s="90" t="str">
        <f>IF(B44=0,"","Thursday")</f>
        <v>Thursday</v>
      </c>
      <c r="F44" s="45"/>
      <c r="G44" s="46"/>
      <c r="H44" s="46"/>
      <c r="I44" s="151"/>
      <c r="J44" s="46"/>
      <c r="K44" s="152"/>
      <c r="L44" s="46"/>
      <c r="M44" s="46" t="str">
        <f t="shared" si="46"/>
        <v/>
      </c>
      <c r="N44" s="301"/>
      <c r="O44" s="171">
        <f t="shared" si="3"/>
        <v>1341.2199983906557</v>
      </c>
      <c r="P44" s="172">
        <f t="shared" si="42"/>
        <v>41574.659995171969</v>
      </c>
      <c r="Q44" s="128">
        <f t="shared" si="4"/>
        <v>41574.659995171969</v>
      </c>
      <c r="R44" s="128">
        <f t="shared" si="47"/>
        <v>0</v>
      </c>
      <c r="S44" s="195" t="str">
        <f t="shared" si="12"/>
        <v/>
      </c>
      <c r="T44" s="128"/>
      <c r="U44" s="128"/>
      <c r="V44" s="129" t="str">
        <f t="shared" si="43"/>
        <v/>
      </c>
      <c r="W44" s="129" t="str">
        <f t="shared" si="44"/>
        <v/>
      </c>
      <c r="X44" s="171">
        <f t="shared" si="48"/>
        <v>0</v>
      </c>
      <c r="Y44" s="171">
        <f t="shared" si="48"/>
        <v>0</v>
      </c>
      <c r="Z44" s="171">
        <f t="shared" si="48"/>
        <v>0</v>
      </c>
      <c r="AA44" s="186">
        <f t="shared" si="8"/>
        <v>0</v>
      </c>
      <c r="AB44" s="173">
        <f t="shared" si="13"/>
        <v>0</v>
      </c>
      <c r="AC44" s="131"/>
      <c r="AD44" s="130"/>
      <c r="AE44" s="76"/>
    </row>
    <row r="45" spans="1:31">
      <c r="A45" s="1"/>
      <c r="B45" s="4">
        <f t="shared" si="41"/>
        <v>45380</v>
      </c>
      <c r="C45" s="29">
        <f t="shared" si="45"/>
        <v>45380</v>
      </c>
      <c r="D45" s="6">
        <f t="shared" ca="1" si="1"/>
        <v>-89</v>
      </c>
      <c r="E45" s="90" t="str">
        <f>IF(B45=0,"","Friday")</f>
        <v>Friday</v>
      </c>
      <c r="F45" s="45"/>
      <c r="G45" s="46"/>
      <c r="H45" s="46"/>
      <c r="I45" s="151"/>
      <c r="J45" s="46"/>
      <c r="K45" s="152"/>
      <c r="L45" s="46"/>
      <c r="M45" s="46" t="str">
        <f t="shared" si="46"/>
        <v/>
      </c>
      <c r="N45" s="301"/>
      <c r="O45" s="171">
        <f t="shared" si="3"/>
        <v>1341.2199983906557</v>
      </c>
      <c r="P45" s="172">
        <f t="shared" si="42"/>
        <v>41574.659995171969</v>
      </c>
      <c r="Q45" s="128">
        <f t="shared" si="4"/>
        <v>41574.659995171969</v>
      </c>
      <c r="R45" s="128">
        <f t="shared" si="47"/>
        <v>0</v>
      </c>
      <c r="S45" s="195" t="str">
        <f t="shared" si="12"/>
        <v/>
      </c>
      <c r="T45" s="128"/>
      <c r="U45" s="128"/>
      <c r="V45" s="129" t="str">
        <f t="shared" si="43"/>
        <v/>
      </c>
      <c r="W45" s="129" t="str">
        <f t="shared" si="44"/>
        <v/>
      </c>
      <c r="X45" s="171">
        <f t="shared" si="48"/>
        <v>0</v>
      </c>
      <c r="Y45" s="171">
        <f t="shared" si="48"/>
        <v>0</v>
      </c>
      <c r="Z45" s="171">
        <f t="shared" si="48"/>
        <v>0</v>
      </c>
      <c r="AA45" s="186">
        <f t="shared" si="8"/>
        <v>0</v>
      </c>
      <c r="AB45" s="173">
        <f t="shared" si="13"/>
        <v>0</v>
      </c>
      <c r="AC45" s="79"/>
      <c r="AD45" s="76"/>
      <c r="AE45" s="76"/>
    </row>
    <row r="46" spans="1:31">
      <c r="A46" s="1"/>
      <c r="B46" s="4">
        <f t="shared" si="41"/>
        <v>45381</v>
      </c>
      <c r="C46" s="29">
        <f t="shared" si="45"/>
        <v>45381</v>
      </c>
      <c r="D46" s="6">
        <f t="shared" ca="1" si="1"/>
        <v>-90</v>
      </c>
      <c r="E46" s="90" t="str">
        <f>IF(B46=0,"","Saturday")</f>
        <v>Saturday</v>
      </c>
      <c r="F46" s="45"/>
      <c r="G46" s="46"/>
      <c r="H46" s="46"/>
      <c r="I46" s="151"/>
      <c r="J46" s="46"/>
      <c r="K46" s="152" t="str">
        <f t="shared" ref="K46:K47" si="49">IF(R46=0,"",IF(L46="","",J46))</f>
        <v/>
      </c>
      <c r="L46" s="46"/>
      <c r="M46" s="46" t="str">
        <f t="shared" si="46"/>
        <v/>
      </c>
      <c r="N46" s="301"/>
      <c r="O46" s="171">
        <f t="shared" si="3"/>
        <v>1341.2199983906557</v>
      </c>
      <c r="P46" s="172">
        <f t="shared" si="42"/>
        <v>41574.659995171969</v>
      </c>
      <c r="Q46" s="128">
        <f t="shared" si="4"/>
        <v>41574.659995171969</v>
      </c>
      <c r="R46" s="128">
        <f t="shared" si="47"/>
        <v>0</v>
      </c>
      <c r="S46" s="195" t="str">
        <f t="shared" si="12"/>
        <v/>
      </c>
      <c r="T46" s="128"/>
      <c r="U46" s="128"/>
      <c r="V46" s="129" t="str">
        <f t="shared" si="43"/>
        <v/>
      </c>
      <c r="W46" s="129" t="str">
        <f t="shared" si="44"/>
        <v/>
      </c>
      <c r="X46" s="171">
        <f t="shared" si="48"/>
        <v>0</v>
      </c>
      <c r="Y46" s="171">
        <f t="shared" si="48"/>
        <v>0</v>
      </c>
      <c r="Z46" s="171">
        <f t="shared" si="48"/>
        <v>0</v>
      </c>
      <c r="AA46" s="186">
        <f t="shared" si="8"/>
        <v>0</v>
      </c>
      <c r="AB46" s="173">
        <f t="shared" si="13"/>
        <v>0</v>
      </c>
      <c r="AC46" s="79"/>
      <c r="AD46" s="76"/>
      <c r="AE46" s="76"/>
    </row>
    <row r="47" spans="1:31" ht="17" thickBot="1">
      <c r="A47" s="1"/>
      <c r="B47" s="43">
        <f t="shared" si="41"/>
        <v>45382</v>
      </c>
      <c r="C47" s="32">
        <f t="shared" si="45"/>
        <v>45382</v>
      </c>
      <c r="D47" s="44">
        <f t="shared" ca="1" si="1"/>
        <v>-91</v>
      </c>
      <c r="E47" s="93" t="str">
        <f>IF(B47=0,"","Sunday")</f>
        <v>Sunday</v>
      </c>
      <c r="F47" s="45"/>
      <c r="G47" s="46"/>
      <c r="H47" s="46"/>
      <c r="I47" s="151"/>
      <c r="J47" s="46"/>
      <c r="K47" s="152" t="str">
        <f t="shared" si="49"/>
        <v/>
      </c>
      <c r="L47" s="46"/>
      <c r="M47" s="46" t="str">
        <f t="shared" si="46"/>
        <v/>
      </c>
      <c r="N47" s="302"/>
      <c r="O47" s="171">
        <f t="shared" si="3"/>
        <v>1341.2199983906557</v>
      </c>
      <c r="P47" s="172">
        <f t="shared" si="42"/>
        <v>41574.659995171969</v>
      </c>
      <c r="Q47" s="128">
        <f t="shared" si="4"/>
        <v>41574.659995171969</v>
      </c>
      <c r="R47" s="128">
        <f t="shared" si="47"/>
        <v>0</v>
      </c>
      <c r="S47" s="195" t="str">
        <f t="shared" si="12"/>
        <v/>
      </c>
      <c r="T47" s="128"/>
      <c r="U47" s="128"/>
      <c r="V47" s="129" t="str">
        <f t="shared" si="43"/>
        <v/>
      </c>
      <c r="W47" s="129" t="str">
        <f t="shared" si="44"/>
        <v/>
      </c>
      <c r="X47" s="171">
        <f t="shared" si="48"/>
        <v>0</v>
      </c>
      <c r="Y47" s="171">
        <f t="shared" si="48"/>
        <v>0</v>
      </c>
      <c r="Z47" s="171">
        <f t="shared" si="48"/>
        <v>0</v>
      </c>
      <c r="AA47" s="186">
        <f t="shared" si="8"/>
        <v>0</v>
      </c>
      <c r="AB47" s="173">
        <f t="shared" si="13"/>
        <v>0</v>
      </c>
      <c r="AC47" s="79"/>
      <c r="AD47" s="76"/>
      <c r="AE47" s="76"/>
    </row>
    <row r="48" spans="1:31" ht="17" customHeight="1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71" t="str">
        <f t="shared" si="3"/>
        <v/>
      </c>
      <c r="P48" s="79"/>
      <c r="Q48" s="128">
        <f t="shared" si="4"/>
        <v>0</v>
      </c>
      <c r="R48" s="188"/>
      <c r="S48" s="195" t="str">
        <f t="shared" si="12"/>
        <v/>
      </c>
      <c r="T48" s="188"/>
      <c r="U48" s="188"/>
      <c r="V48" s="188"/>
      <c r="W48" s="188"/>
      <c r="X48" s="171"/>
      <c r="Y48" s="171" t="str">
        <f>IF(A48=0,"",G48+Y36)</f>
        <v/>
      </c>
      <c r="Z48" s="171" t="str">
        <f>IF(B48=0,"",H48+Z36)</f>
        <v/>
      </c>
      <c r="AA48" s="186"/>
      <c r="AB48" s="173">
        <f t="shared" si="13"/>
        <v>0</v>
      </c>
      <c r="AC48" s="79"/>
      <c r="AD48" s="76"/>
      <c r="AE48" s="76"/>
    </row>
    <row r="49" spans="1:32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5.8334219067395843</v>
      </c>
      <c r="G49" s="53">
        <f>H49*1.0936113</f>
        <v>10266.8228844</v>
      </c>
      <c r="H49" s="5">
        <f>INT(SUM($O41:$O47))</f>
        <v>9388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71" t="str">
        <f t="shared" si="3"/>
        <v/>
      </c>
      <c r="P49" s="95"/>
      <c r="Q49" s="128">
        <f t="shared" si="4"/>
        <v>0</v>
      </c>
      <c r="R49" s="189"/>
      <c r="S49" s="195" t="str">
        <f t="shared" si="12"/>
        <v/>
      </c>
      <c r="T49" s="189"/>
      <c r="U49" s="189"/>
      <c r="V49" s="189"/>
      <c r="W49" s="189"/>
      <c r="X49" s="171"/>
      <c r="Y49" s="171" t="str">
        <f>IF(A49=0,"",G49+Y37)</f>
        <v/>
      </c>
      <c r="Z49" s="171" t="str">
        <f>IF(B49=0,"",H49+Z37)</f>
        <v/>
      </c>
      <c r="AA49" s="186"/>
      <c r="AB49" s="173">
        <f t="shared" si="13"/>
        <v>0</v>
      </c>
      <c r="AC49" s="95"/>
      <c r="AD49" s="77"/>
      <c r="AE49" s="77"/>
    </row>
    <row r="50" spans="1:32" ht="17" thickTop="1">
      <c r="A50" s="1"/>
      <c r="B50" s="47">
        <f>IF(B$3&lt;C50,0,C50)</f>
        <v>0</v>
      </c>
      <c r="C50" s="31">
        <f>C47+1</f>
        <v>45383</v>
      </c>
      <c r="D50" s="18">
        <f t="shared" ca="1" si="1"/>
        <v>-92</v>
      </c>
      <c r="E50" s="94" t="str">
        <f>IF(B50=0,"","Monday")</f>
        <v/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71" t="str">
        <f t="shared" si="3"/>
        <v/>
      </c>
      <c r="P50" s="172">
        <f>H$56</f>
        <v>41574.659995171969</v>
      </c>
      <c r="Q50" s="128">
        <f t="shared" si="4"/>
        <v>41574.659995171969</v>
      </c>
      <c r="R50" s="128">
        <f>IF(R$2=3,H50+G50/1.0936133+F50/0.0006213712,IF(R$2=2,H50*1.0936133+G50+F50/0.0005681818,IF(R$2=1,H50*0.0005681818*1.0936133+G50*0.0005681818+F50,"")))</f>
        <v>0</v>
      </c>
      <c r="S50" s="195" t="str">
        <f t="shared" si="12"/>
        <v/>
      </c>
      <c r="T50" s="128"/>
      <c r="U50" s="128"/>
      <c r="V50" s="129" t="str">
        <f>IF(L50="","",IF(R50=0,"",IF(B50=0,"",IF($R$2=3,R50/L50*60/1000,IF($R$2=2,R50/L50*60/1760,IF($R$2=1,R50/L50*60,""))))))</f>
        <v/>
      </c>
      <c r="W50" s="129" t="str">
        <f>IF(R50=0,"",IF(L50="","",V50*L50))</f>
        <v/>
      </c>
      <c r="X50" s="171">
        <f>F50+X47</f>
        <v>0</v>
      </c>
      <c r="Y50" s="171">
        <f>G50+Y47</f>
        <v>0</v>
      </c>
      <c r="Z50" s="171">
        <f>H50+Z47</f>
        <v>0</v>
      </c>
      <c r="AA50" s="186">
        <f t="shared" si="8"/>
        <v>0</v>
      </c>
      <c r="AB50" s="173">
        <f t="shared" si="13"/>
        <v>0</v>
      </c>
      <c r="AC50" s="79"/>
      <c r="AD50" s="76"/>
      <c r="AE50" s="76"/>
    </row>
    <row r="51" spans="1:32" ht="17" thickBot="1">
      <c r="A51" s="1"/>
      <c r="B51" s="4">
        <f>IF(B$3&lt;C51,0,C51)</f>
        <v>0</v>
      </c>
      <c r="C51" s="29">
        <f>C50+1</f>
        <v>45384</v>
      </c>
      <c r="D51" s="6">
        <f t="shared" ca="1" si="1"/>
        <v>-93</v>
      </c>
      <c r="E51" s="90" t="str">
        <f>IF(B51=0,"","Tuesday")</f>
        <v/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71" t="str">
        <f t="shared" si="3"/>
        <v/>
      </c>
      <c r="P51" s="172">
        <f>H$56</f>
        <v>41574.659995171969</v>
      </c>
      <c r="Q51" s="128">
        <f t="shared" si="4"/>
        <v>41574.659995171969</v>
      </c>
      <c r="R51" s="128">
        <f>IF(R$2=3,H51+G51/1.0936133+F51/0.0006213712,IF(R$2=2,H51*1.0936133+G51+F51/0.0005681818,IF(R$2=1,H51*0.0005681818*1.0936133+G51*0.0005681818+F51,"")))</f>
        <v>0</v>
      </c>
      <c r="S51" s="195" t="str">
        <f t="shared" si="12"/>
        <v/>
      </c>
      <c r="T51" s="128"/>
      <c r="U51" s="128"/>
      <c r="V51" s="129" t="str">
        <f>IF(L51="","",IF(R51=0,"",IF(B51=0,"",IF($R$2=3,R51/L51*60/1000,IF($R$2=2,R51/L51*60/1760,IF($R$2=1,R51/L51*60,""))))))</f>
        <v/>
      </c>
      <c r="W51" s="129" t="str">
        <f>IF(R51=0,"",IF(L51="","",V51*L51))</f>
        <v/>
      </c>
      <c r="X51" s="171">
        <f>F51+X50</f>
        <v>0</v>
      </c>
      <c r="Y51" s="171">
        <f>G51+Y50</f>
        <v>0</v>
      </c>
      <c r="Z51" s="171">
        <f>H51+Z50</f>
        <v>0</v>
      </c>
      <c r="AA51" s="186">
        <f t="shared" si="8"/>
        <v>0</v>
      </c>
      <c r="AB51" s="173">
        <f t="shared" si="13"/>
        <v>0</v>
      </c>
      <c r="AC51" s="79"/>
      <c r="AD51" s="76"/>
      <c r="AE51" s="76"/>
    </row>
    <row r="52" spans="1:32" ht="18" thickTop="1" thickBot="1">
      <c r="A52" s="25"/>
      <c r="B52" s="12"/>
      <c r="C52" s="33"/>
      <c r="D52" s="50"/>
      <c r="E52" s="89" t="s">
        <v>65</v>
      </c>
      <c r="F52" s="49">
        <f ca="1">G52*0.000568181818</f>
        <v>-6.2137005661934355E-59</v>
      </c>
      <c r="G52" s="15">
        <f ca="1">H52*1.0936113</f>
        <v>-1.0936113000000001E-55</v>
      </c>
      <c r="H52" s="102">
        <f ca="1">IF(SUM(B50:B51)=0,-1E-55,IF(TODAY()&gt;=B50,(AA51-AA47)*1000,-2E-55))</f>
        <v>-9.9999999999999999E-56</v>
      </c>
      <c r="I52" s="250"/>
      <c r="J52" s="495" t="s">
        <v>93</v>
      </c>
      <c r="K52" s="496"/>
      <c r="L52" s="496"/>
      <c r="M52" s="253"/>
      <c r="N52" s="254" t="str">
        <f>IF(R$2=1,"Distance (miles)",IF(R$2=2,"Distance (yds)",IF(R$2=3,"Distance (km)","????")))</f>
        <v>Distance (km)</v>
      </c>
      <c r="O52" s="171"/>
      <c r="P52" s="95" t="s">
        <v>1</v>
      </c>
      <c r="Q52" s="95" t="s">
        <v>2</v>
      </c>
      <c r="R52" s="95" t="s">
        <v>3</v>
      </c>
      <c r="S52" s="95" t="s">
        <v>4</v>
      </c>
      <c r="T52" s="95" t="s">
        <v>5</v>
      </c>
      <c r="U52" s="95" t="s">
        <v>6</v>
      </c>
      <c r="V52" s="95" t="s">
        <v>7</v>
      </c>
      <c r="W52" s="171"/>
      <c r="X52" s="171"/>
      <c r="Y52" s="171"/>
      <c r="Z52" s="186"/>
      <c r="AA52" s="173"/>
      <c r="AB52" s="79"/>
      <c r="AC52" s="79"/>
      <c r="AD52" s="76"/>
      <c r="AE52" s="76"/>
    </row>
    <row r="53" spans="1:32" ht="17" thickBot="1">
      <c r="A53" s="24"/>
      <c r="B53" s="13"/>
      <c r="C53" s="30"/>
      <c r="D53" s="51"/>
      <c r="E53" s="92" t="s">
        <v>27</v>
      </c>
      <c r="F53" s="52">
        <f>G53*0.0005681818</f>
        <v>-6.2137003693434006E-59</v>
      </c>
      <c r="G53" s="53">
        <f>H53*1.0936113</f>
        <v>-1.0936113000000001E-55</v>
      </c>
      <c r="H53" s="104">
        <f>IF(SUM($O50:$O51)=0,-1E-55,SUM($O50:$O51))</f>
        <v>-9.9999999999999999E-56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190" t="s">
        <v>48</v>
      </c>
      <c r="P53" s="95">
        <f t="shared" ref="P53:V53" si="50">COUNTIFS($E$5:$E$51,P52)</f>
        <v>4</v>
      </c>
      <c r="Q53" s="95">
        <f t="shared" si="50"/>
        <v>4</v>
      </c>
      <c r="R53" s="95">
        <f t="shared" si="50"/>
        <v>4</v>
      </c>
      <c r="S53" s="95">
        <f t="shared" si="50"/>
        <v>4</v>
      </c>
      <c r="T53" s="95">
        <f t="shared" si="50"/>
        <v>5</v>
      </c>
      <c r="U53" s="95">
        <f t="shared" si="50"/>
        <v>5</v>
      </c>
      <c r="V53" s="95">
        <f t="shared" si="50"/>
        <v>5</v>
      </c>
      <c r="W53" s="171"/>
      <c r="X53" s="171"/>
      <c r="Y53" s="171"/>
      <c r="Z53" s="186"/>
      <c r="AA53" s="173"/>
      <c r="AB53" s="79"/>
      <c r="AC53" s="131"/>
      <c r="AD53" s="130"/>
      <c r="AE53" s="76"/>
    </row>
    <row r="54" spans="1:32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1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190" t="s">
        <v>47</v>
      </c>
      <c r="P54" s="95">
        <f t="shared" ref="P54:V54" ca="1" si="52">COUNTIFS($D$5:$D$51,"&gt;-1",$E$5:$E$51,P52)</f>
        <v>0</v>
      </c>
      <c r="Q54" s="95">
        <f t="shared" ca="1" si="52"/>
        <v>0</v>
      </c>
      <c r="R54" s="95">
        <f t="shared" ca="1" si="52"/>
        <v>0</v>
      </c>
      <c r="S54" s="95">
        <f t="shared" ca="1" si="52"/>
        <v>0</v>
      </c>
      <c r="T54" s="95">
        <f t="shared" ca="1" si="52"/>
        <v>0</v>
      </c>
      <c r="U54" s="95">
        <f t="shared" ca="1" si="52"/>
        <v>0</v>
      </c>
      <c r="V54" s="95">
        <f t="shared" ca="1" si="52"/>
        <v>0</v>
      </c>
      <c r="W54" s="171"/>
      <c r="X54" s="171"/>
      <c r="Y54" s="171"/>
      <c r="Z54" s="186"/>
      <c r="AA54" s="173"/>
      <c r="AB54" s="79"/>
      <c r="AC54" s="79"/>
      <c r="AD54" s="76"/>
      <c r="AE54" s="76"/>
    </row>
    <row r="55" spans="1:32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1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190" t="s">
        <v>66</v>
      </c>
      <c r="P55" s="95">
        <f t="shared" ref="P55:V55" si="53">COUNTIFS($E$5:$E$51,P52,$R$5:$R$51,"&gt;0")</f>
        <v>0</v>
      </c>
      <c r="Q55" s="95">
        <f t="shared" si="53"/>
        <v>0</v>
      </c>
      <c r="R55" s="95">
        <f t="shared" si="53"/>
        <v>0</v>
      </c>
      <c r="S55" s="95">
        <f t="shared" si="53"/>
        <v>0</v>
      </c>
      <c r="T55" s="95">
        <f t="shared" si="53"/>
        <v>0</v>
      </c>
      <c r="U55" s="95">
        <f t="shared" si="53"/>
        <v>0</v>
      </c>
      <c r="V55" s="95">
        <f t="shared" si="53"/>
        <v>0</v>
      </c>
      <c r="W55" s="171"/>
      <c r="X55" s="171"/>
      <c r="Y55" s="171"/>
      <c r="Z55" s="186"/>
      <c r="AA55" s="173"/>
      <c r="AB55" s="79"/>
      <c r="AC55" s="79"/>
      <c r="AD55" s="76"/>
      <c r="AE55" s="76"/>
    </row>
    <row r="56" spans="1:32" ht="17" thickBot="1">
      <c r="A56" s="27"/>
      <c r="B56" s="35"/>
      <c r="C56" s="35"/>
      <c r="D56" s="35"/>
      <c r="E56" s="17" t="s">
        <v>41</v>
      </c>
      <c r="F56" s="37">
        <f>G56*0.000568181818</f>
        <v>25.833248835129961</v>
      </c>
      <c r="G56" s="38">
        <f>H56*1.0936113</f>
        <v>45466.517964378014</v>
      </c>
      <c r="H56" s="106">
        <f>SUM(H$53,H40,H31,H22,H49,H13)-1</f>
        <v>41574.659995171969</v>
      </c>
      <c r="I56" s="252"/>
      <c r="J56" s="257" t="str">
        <f>'MY STATS'!AI47</f>
        <v/>
      </c>
      <c r="K56" s="126" t="str">
        <f t="shared" si="51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190" t="s">
        <v>106</v>
      </c>
      <c r="P56" s="95"/>
      <c r="Q56" s="95"/>
      <c r="R56" s="95"/>
      <c r="S56" s="95"/>
      <c r="T56" s="95"/>
      <c r="U56" s="95"/>
      <c r="V56" s="95"/>
      <c r="W56" s="171"/>
      <c r="X56" s="171"/>
      <c r="Y56" s="171"/>
      <c r="Z56" s="186"/>
      <c r="AA56" s="173"/>
      <c r="AB56" s="79"/>
      <c r="AC56" s="79"/>
      <c r="AD56" s="76"/>
      <c r="AE56" s="76"/>
      <c r="AF56" s="11"/>
    </row>
    <row r="57" spans="1:32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190" t="s">
        <v>97</v>
      </c>
      <c r="P57" s="172">
        <f t="shared" ref="P57:V57" si="54">SUMIF($E$5:$E$51,P52,$S$5:$S$51)</f>
        <v>0</v>
      </c>
      <c r="Q57" s="172">
        <f t="shared" si="54"/>
        <v>0</v>
      </c>
      <c r="R57" s="172">
        <f t="shared" si="54"/>
        <v>0</v>
      </c>
      <c r="S57" s="172">
        <f t="shared" si="54"/>
        <v>0</v>
      </c>
      <c r="T57" s="172">
        <f t="shared" si="54"/>
        <v>0</v>
      </c>
      <c r="U57" s="172">
        <f t="shared" si="54"/>
        <v>0</v>
      </c>
      <c r="V57" s="172">
        <f t="shared" si="54"/>
        <v>0</v>
      </c>
      <c r="W57" s="79"/>
      <c r="X57" s="79"/>
      <c r="Y57" s="79"/>
      <c r="Z57" s="95"/>
      <c r="AA57" s="79"/>
      <c r="AB57" s="79"/>
      <c r="AC57" s="79"/>
      <c r="AD57" s="76"/>
      <c r="AE57" s="76"/>
    </row>
    <row r="58" spans="1:32" ht="18" thickTop="1" thickBot="1">
      <c r="A58" s="63">
        <f>A1</f>
        <v>3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190" t="s">
        <v>98</v>
      </c>
      <c r="P58" s="191">
        <f>IF(COUNTIFS($E$5:$E$51,P52,$L$5:$L$51,"&gt;0")=0,0,(SUMIF($E$5:$E$51,P52,$L$5:$L$51)+IF(SUMIF($E$5:$E$51,P52,$R$5:$R$51)=0,-SUMIF($E$5:$E$51,P52,$L$5:$L$51)))/60)</f>
        <v>0</v>
      </c>
      <c r="Q58" s="191">
        <f t="shared" ref="Q58:V58" si="55">IF(COUNTIFS($E$5:$E$51,Q52,$L$5:$L$51,"&gt;0")=0,0,(SUMIF($E$5:$E$51,Q52,$L$5:$L$51)+IF(SUMIF($E$5:$E$51,Q52,$R$5:$R$51)=0,-SUMIF($E$5:$E$51,Q52,$L$5:$L$51)))/60)</f>
        <v>0</v>
      </c>
      <c r="R58" s="191">
        <f t="shared" si="55"/>
        <v>0</v>
      </c>
      <c r="S58" s="191">
        <f t="shared" si="55"/>
        <v>0</v>
      </c>
      <c r="T58" s="191">
        <f t="shared" si="55"/>
        <v>0</v>
      </c>
      <c r="U58" s="191">
        <f t="shared" si="55"/>
        <v>0</v>
      </c>
      <c r="V58" s="191">
        <f t="shared" si="55"/>
        <v>0</v>
      </c>
      <c r="W58" s="79"/>
      <c r="X58" s="79"/>
      <c r="Y58" s="79"/>
      <c r="Z58" s="95"/>
      <c r="AA58" s="79"/>
      <c r="AB58" s="79"/>
      <c r="AC58" s="79"/>
      <c r="AD58" s="76"/>
      <c r="AE58" s="76"/>
    </row>
    <row r="59" spans="1:32" ht="18" thickTop="1" thickBot="1">
      <c r="A59" s="66">
        <f>A1</f>
        <v>3</v>
      </c>
      <c r="B59" s="67"/>
      <c r="C59" s="68"/>
      <c r="D59" s="59"/>
      <c r="E59" s="60" t="s">
        <v>52</v>
      </c>
      <c r="F59" s="61">
        <f>G59*0.000568181818</f>
        <v>63.401523395344434</v>
      </c>
      <c r="G59" s="62">
        <f>H59*1.0936113</f>
        <v>111586.68121151393</v>
      </c>
      <c r="H59" s="107">
        <f>VLOOKUP($A$1,'MY STATS'!B$32:K$43,10)</f>
        <v>102035.04774641038</v>
      </c>
      <c r="I59" s="251"/>
      <c r="J59" s="261" t="s">
        <v>57</v>
      </c>
      <c r="K59" s="262" t="str">
        <f t="shared" si="51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190" t="s">
        <v>88</v>
      </c>
      <c r="P59" s="167">
        <f>IFERROR(IF('MY STATS'!$A16=1,P57/P58,IF('MY STATS'!$A16=2,P57/1760/P58,IF('MY STATS'!$A16=3,P57/1000/P58,0))),0)</f>
        <v>0</v>
      </c>
      <c r="Q59" s="167">
        <f>IFERROR(IF('MY STATS'!$A16=1,Q57/Q58,IF('MY STATS'!$A16=2,Q57/1760/Q58,IF('MY STATS'!$A16=3,Q57/1000/Q58,0))),0)</f>
        <v>0</v>
      </c>
      <c r="R59" s="167">
        <f>IFERROR(IF('MY STATS'!$A16=1,R57/R58,IF('MY STATS'!$A16=2,R57/1760/R58,IF('MY STATS'!$A16=3,R57/1000/R58,0))),0)</f>
        <v>0</v>
      </c>
      <c r="S59" s="167">
        <f>IFERROR(IF('MY STATS'!$A16=1,S57/S58,IF('MY STATS'!$A16=2,S57/1760/S58,IF('MY STATS'!$A16=3,S57/1000/S58,0))),0)</f>
        <v>0</v>
      </c>
      <c r="T59" s="167">
        <f>IFERROR(IF('MY STATS'!$A16=1,T57/T58,IF('MY STATS'!$A16=2,T57/1760/T58,IF('MY STATS'!$A16=3,T57/1000/T58,0))),0)</f>
        <v>0</v>
      </c>
      <c r="U59" s="167">
        <f>IFERROR(IF('MY STATS'!$A16=1,U57/U58,IF('MY STATS'!$A16=2,U57/1760/U58,IF('MY STATS'!$A16=3,U57/1000/U58,0))),0)</f>
        <v>0</v>
      </c>
      <c r="V59" s="167">
        <f>IFERROR(IF('MY STATS'!$A16=1,V57/V58,IF('MY STATS'!$A16=2,V57/1760/V58,IF('MY STATS'!$A16=3,V57/1000/V58,0))),0)</f>
        <v>0</v>
      </c>
      <c r="W59" s="79"/>
      <c r="X59" s="79"/>
      <c r="Y59" s="79"/>
      <c r="Z59" s="95"/>
      <c r="AA59" s="79"/>
      <c r="AB59" s="79"/>
      <c r="AC59" s="79"/>
      <c r="AD59" s="76"/>
      <c r="AE59" s="76"/>
    </row>
    <row r="60" spans="1:32" ht="17" thickTop="1"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95"/>
      <c r="AB60" s="79"/>
      <c r="AC60" s="79"/>
      <c r="AD60" s="76"/>
      <c r="AE60" s="76"/>
    </row>
    <row r="61" spans="1:32"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6"/>
      <c r="AC61" s="76"/>
      <c r="AD61" s="76"/>
      <c r="AE61" s="76"/>
    </row>
    <row r="62" spans="1:32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6"/>
      <c r="AC62" s="76"/>
      <c r="AD62" s="76"/>
      <c r="AE62" s="76"/>
    </row>
    <row r="63" spans="1:32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6"/>
      <c r="AC63" s="76"/>
      <c r="AD63" s="76"/>
      <c r="AE63" s="76"/>
    </row>
    <row r="64" spans="1:32">
      <c r="O64" s="76"/>
      <c r="P64" s="76"/>
      <c r="Q64" s="76"/>
      <c r="R64" s="76"/>
      <c r="S64" s="76"/>
      <c r="T64" s="76"/>
      <c r="U64" s="76"/>
      <c r="V64" s="76"/>
      <c r="W64" s="76"/>
      <c r="X64" s="77"/>
      <c r="Y64" s="76"/>
      <c r="Z64" s="76"/>
      <c r="AA64" s="76"/>
      <c r="AB64" s="76"/>
      <c r="AC64" s="76"/>
      <c r="AD64" s="76"/>
      <c r="AE64" s="76"/>
    </row>
    <row r="65" spans="15:31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6"/>
      <c r="AC65" s="76"/>
      <c r="AD65" s="76"/>
      <c r="AE65" s="76"/>
    </row>
    <row r="66" spans="15:31" customFormat="1"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7"/>
      <c r="AA66" s="76"/>
      <c r="AB66" s="76"/>
      <c r="AC66" s="76"/>
      <c r="AD66" s="76"/>
      <c r="AE66" s="76"/>
    </row>
    <row r="67" spans="15:31"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76"/>
      <c r="AC67" s="76"/>
      <c r="AD67" s="76"/>
      <c r="AE67" s="76"/>
    </row>
    <row r="68" spans="15:31"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7"/>
      <c r="AB68" s="76"/>
      <c r="AC68" s="76"/>
      <c r="AD68" s="76"/>
      <c r="AE68" s="76"/>
    </row>
    <row r="69" spans="15:31"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7"/>
      <c r="AB69" s="76"/>
      <c r="AC69" s="76"/>
      <c r="AD69" s="76"/>
      <c r="AE69" s="76"/>
    </row>
    <row r="70" spans="15:31"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76"/>
      <c r="AC70" s="76"/>
      <c r="AD70" s="76"/>
      <c r="AE70" s="76"/>
    </row>
    <row r="71" spans="15:31"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7"/>
      <c r="AB71" s="76"/>
      <c r="AC71" s="76"/>
      <c r="AD71" s="76"/>
      <c r="AE71" s="76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Q4:Q51 R5:R11 R14:R20 R23:R29 R32:R38 R41:R47 R50:R51 T50:U51 T41:U47 T32:U38 T23:U29 T14:U20 T5:U11">
    <cfRule type="cellIs" dxfId="13839" priority="2872" stopIfTrue="1" operator="lessThan">
      <formula>0</formula>
    </cfRule>
  </conditionalFormatting>
  <conditionalFormatting sqref="B14:B20 B23:B29 B49:B51 B40:B47 B53 B31:B38 D3 B5:B11">
    <cfRule type="cellIs" dxfId="13838" priority="2873" stopIfTrue="1" operator="notBetween">
      <formula>$B$2</formula>
      <formula>$B$3</formula>
    </cfRule>
  </conditionalFormatting>
  <conditionalFormatting sqref="B14:B20 B23:B29 B49:B51 B40:B47 B53 B31:B38 D3 B5:B11">
    <cfRule type="cellIs" dxfId="13837" priority="2874" operator="greaterThan">
      <formula>$E$3</formula>
    </cfRule>
    <cfRule type="cellIs" dxfId="13836" priority="2875" operator="equal">
      <formula>$E$3</formula>
    </cfRule>
    <cfRule type="cellIs" dxfId="13835" priority="2876" operator="lessThan">
      <formula>$E$3</formula>
    </cfRule>
  </conditionalFormatting>
  <conditionalFormatting sqref="F58:H58 F55:H55">
    <cfRule type="expression" dxfId="13834" priority="2871">
      <formula>$F55&gt;=$F56</formula>
    </cfRule>
  </conditionalFormatting>
  <conditionalFormatting sqref="F5:H10 F14:G20 F23:G29 F38:H38 F41:H47 F11:G11 F32:G37">
    <cfRule type="cellIs" dxfId="13833" priority="2861" stopIfTrue="1" operator="lessThan">
      <formula>0</formula>
    </cfRule>
  </conditionalFormatting>
  <conditionalFormatting sqref="C32:C38 C41:C47 C50:C51 C14:C20 C23:C29 C5:C11">
    <cfRule type="cellIs" dxfId="13832" priority="2866" stopIfTrue="1" operator="notBetween">
      <formula>$B$2</formula>
      <formula>$B$3</formula>
    </cfRule>
  </conditionalFormatting>
  <conditionalFormatting sqref="C41:C47 C50:C51 C32:C38 C14:C20 C23:C29 C5:C11">
    <cfRule type="cellIs" dxfId="13831" priority="2867" operator="greaterThan">
      <formula>$E$3</formula>
    </cfRule>
    <cfRule type="cellIs" dxfId="13830" priority="2868" operator="equal">
      <formula>$E$3</formula>
    </cfRule>
    <cfRule type="cellIs" dxfId="13829" priority="2869" operator="lessThan">
      <formula>$E$3</formula>
    </cfRule>
  </conditionalFormatting>
  <conditionalFormatting sqref="F14:G20 F23:G29 F38:H38 F41:H47 F32:G37">
    <cfRule type="expression" dxfId="13828" priority="2865">
      <formula>$C14&lt;$E$3</formula>
    </cfRule>
  </conditionalFormatting>
  <conditionalFormatting sqref="F5:H10 F14:G20 F23:G29 F38:H38 F41:H47 F11:G11 F32:G37">
    <cfRule type="expression" dxfId="13827" priority="2862">
      <formula>$C5=$E$3</formula>
    </cfRule>
    <cfRule type="expression" dxfId="13826" priority="2863">
      <formula>$C5&lt;$E$3</formula>
    </cfRule>
    <cfRule type="cellIs" dxfId="13825" priority="2864" operator="equal">
      <formula>0</formula>
    </cfRule>
    <cfRule type="expression" dxfId="13824" priority="2870">
      <formula>$C5&gt;$E$3</formula>
    </cfRule>
  </conditionalFormatting>
  <conditionalFormatting sqref="F12:G12">
    <cfRule type="expression" dxfId="13823" priority="2860">
      <formula>$F12&gt;=$F13</formula>
    </cfRule>
  </conditionalFormatting>
  <conditionalFormatting sqref="F21:G21">
    <cfRule type="expression" dxfId="13822" priority="2859">
      <formula>$F21&gt;=$F22</formula>
    </cfRule>
  </conditionalFormatting>
  <conditionalFormatting sqref="F39:H39">
    <cfRule type="expression" dxfId="13821" priority="2858">
      <formula>$F39&gt;=$F40</formula>
    </cfRule>
  </conditionalFormatting>
  <conditionalFormatting sqref="F30:G30">
    <cfRule type="expression" dxfId="13820" priority="2857">
      <formula>$F30&gt;=$F31</formula>
    </cfRule>
  </conditionalFormatting>
  <conditionalFormatting sqref="F48:H48">
    <cfRule type="expression" dxfId="13819" priority="2855" stopIfTrue="1">
      <formula>$H$48=-1E-55</formula>
    </cfRule>
    <cfRule type="expression" dxfId="13818" priority="2856">
      <formula>$F48&gt;=$F49</formula>
    </cfRule>
  </conditionalFormatting>
  <conditionalFormatting sqref="F14:G20 F23:G29 F38:H38 F41:H47 F32:G37">
    <cfRule type="expression" dxfId="13817" priority="2854">
      <formula>$C14&lt;$E$3</formula>
    </cfRule>
  </conditionalFormatting>
  <conditionalFormatting sqref="F14:G20 F5:H10 F23:G29 F38:H38 F41:H47 F11:G11 F32:G37">
    <cfRule type="expression" dxfId="13816" priority="2850">
      <formula>$C5=$E$3</formula>
    </cfRule>
    <cfRule type="expression" dxfId="13815" priority="2851">
      <formula>$C5&lt;$E$3</formula>
    </cfRule>
    <cfRule type="cellIs" dxfId="13814" priority="2852" operator="equal">
      <formula>0</formula>
    </cfRule>
    <cfRule type="expression" dxfId="13813" priority="2853">
      <formula>$C5&gt;$E$3</formula>
    </cfRule>
  </conditionalFormatting>
  <conditionalFormatting sqref="F12:G12">
    <cfRule type="expression" dxfId="13812" priority="2849">
      <formula>$F12&gt;=$F13</formula>
    </cfRule>
  </conditionalFormatting>
  <conditionalFormatting sqref="F21:G21">
    <cfRule type="expression" dxfId="13811" priority="2848">
      <formula>$F21&gt;=$F22</formula>
    </cfRule>
  </conditionalFormatting>
  <conditionalFormatting sqref="F39:H39">
    <cfRule type="expression" dxfId="13810" priority="2847">
      <formula>$F39&gt;=$F40</formula>
    </cfRule>
  </conditionalFormatting>
  <conditionalFormatting sqref="F30:G30">
    <cfRule type="expression" dxfId="13809" priority="2846">
      <formula>$F30&gt;=$F31</formula>
    </cfRule>
  </conditionalFormatting>
  <conditionalFormatting sqref="F48:H48">
    <cfRule type="expression" dxfId="13808" priority="2844" stopIfTrue="1">
      <formula>$E$41=""</formula>
    </cfRule>
    <cfRule type="expression" dxfId="13807" priority="2845">
      <formula>$F48&gt;=$F49</formula>
    </cfRule>
  </conditionalFormatting>
  <conditionalFormatting sqref="F41:H47">
    <cfRule type="expression" dxfId="13806" priority="2843">
      <formula>$E41=""</formula>
    </cfRule>
  </conditionalFormatting>
  <conditionalFormatting sqref="F47:H47">
    <cfRule type="expression" dxfId="13805" priority="2842">
      <formula>$E$46=""</formula>
    </cfRule>
  </conditionalFormatting>
  <conditionalFormatting sqref="F45:H45">
    <cfRule type="expression" dxfId="13804" priority="2841">
      <formula>$E45=""</formula>
    </cfRule>
  </conditionalFormatting>
  <conditionalFormatting sqref="F5:H10 F11:G11">
    <cfRule type="expression" dxfId="13803" priority="2840">
      <formula>$C5&lt;$E$3</formula>
    </cfRule>
  </conditionalFormatting>
  <conditionalFormatting sqref="F5:H10 F11:G11">
    <cfRule type="expression" dxfId="13802" priority="2839">
      <formula>$E5=""</formula>
    </cfRule>
  </conditionalFormatting>
  <conditionalFormatting sqref="F5:H10 F11:G11">
    <cfRule type="expression" dxfId="13801" priority="2835">
      <formula>$C5=$E$3</formula>
    </cfRule>
    <cfRule type="expression" dxfId="13800" priority="2836">
      <formula>$C5&lt;$E$3</formula>
    </cfRule>
    <cfRule type="cellIs" dxfId="13799" priority="2837" operator="equal">
      <formula>0</formula>
    </cfRule>
    <cfRule type="expression" dxfId="13798" priority="2838">
      <formula>$C5&gt;$E$3</formula>
    </cfRule>
  </conditionalFormatting>
  <conditionalFormatting sqref="F5:H10 F11:G11">
    <cfRule type="expression" dxfId="13797" priority="2834">
      <formula>$C5&lt;$E$3</formula>
    </cfRule>
  </conditionalFormatting>
  <conditionalFormatting sqref="F5:H10 F11:G11">
    <cfRule type="expression" dxfId="13796" priority="2833">
      <formula>$E5=""</formula>
    </cfRule>
  </conditionalFormatting>
  <conditionalFormatting sqref="F14:G20">
    <cfRule type="expression" dxfId="13795" priority="2832">
      <formula>$C14&lt;$E$3</formula>
    </cfRule>
  </conditionalFormatting>
  <conditionalFormatting sqref="F14:G20">
    <cfRule type="expression" dxfId="13794" priority="2828">
      <formula>$C14=$E$3</formula>
    </cfRule>
    <cfRule type="expression" dxfId="13793" priority="2829">
      <formula>$C14&lt;$E$3</formula>
    </cfRule>
    <cfRule type="cellIs" dxfId="13792" priority="2830" operator="equal">
      <formula>0</formula>
    </cfRule>
    <cfRule type="expression" dxfId="13791" priority="2831">
      <formula>$C14&gt;$E$3</formula>
    </cfRule>
  </conditionalFormatting>
  <conditionalFormatting sqref="F5:H10 F11:G11">
    <cfRule type="expression" dxfId="13790" priority="2827">
      <formula>$C5&lt;$E$3</formula>
    </cfRule>
  </conditionalFormatting>
  <conditionalFormatting sqref="F5:H10 F11:G11">
    <cfRule type="expression" dxfId="13789" priority="2823">
      <formula>$C5=$E$3</formula>
    </cfRule>
    <cfRule type="expression" dxfId="13788" priority="2824">
      <formula>$C5&lt;$E$3</formula>
    </cfRule>
    <cfRule type="cellIs" dxfId="13787" priority="2825" operator="equal">
      <formula>0</formula>
    </cfRule>
    <cfRule type="expression" dxfId="13786" priority="2826">
      <formula>$C5&gt;$E$3</formula>
    </cfRule>
  </conditionalFormatting>
  <conditionalFormatting sqref="F5:H10 F11:G11">
    <cfRule type="expression" dxfId="13785" priority="2822">
      <formula>$E5=""</formula>
    </cfRule>
  </conditionalFormatting>
  <conditionalFormatting sqref="F5:H10 F11:G11">
    <cfRule type="expression" dxfId="13784" priority="2821">
      <formula>$C5&lt;$E$3</formula>
    </cfRule>
  </conditionalFormatting>
  <conditionalFormatting sqref="F5:H10 F11:G11">
    <cfRule type="expression" dxfId="13783" priority="2820">
      <formula>$E5=""</formula>
    </cfRule>
  </conditionalFormatting>
  <conditionalFormatting sqref="F5:H10 F11:G11">
    <cfRule type="expression" dxfId="13782" priority="2819">
      <formula>$E5=""</formula>
    </cfRule>
  </conditionalFormatting>
  <conditionalFormatting sqref="F5:H10 F11:G11">
    <cfRule type="expression" dxfId="13781" priority="2818">
      <formula>$C5&lt;$E$3</formula>
    </cfRule>
  </conditionalFormatting>
  <conditionalFormatting sqref="F5:H10 F11:G11">
    <cfRule type="expression" dxfId="13780" priority="2817">
      <formula>$E5=""</formula>
    </cfRule>
  </conditionalFormatting>
  <conditionalFormatting sqref="F5:H10 F11:G11">
    <cfRule type="expression" dxfId="13779" priority="2816">
      <formula>$C5&lt;$E$3</formula>
    </cfRule>
  </conditionalFormatting>
  <conditionalFormatting sqref="F5:H10 F11:G11">
    <cfRule type="expression" dxfId="13778" priority="2815">
      <formula>$E5=""</formula>
    </cfRule>
  </conditionalFormatting>
  <conditionalFormatting sqref="F5:H10 F11:G11">
    <cfRule type="expression" dxfId="13777" priority="2814">
      <formula>$C5&lt;$E$3</formula>
    </cfRule>
  </conditionalFormatting>
  <conditionalFormatting sqref="F5:H10 F11:G11">
    <cfRule type="expression" dxfId="13776" priority="2813">
      <formula>$E5=""</formula>
    </cfRule>
  </conditionalFormatting>
  <conditionalFormatting sqref="F14:G20">
    <cfRule type="expression" dxfId="13775" priority="2812">
      <formula>$C14&lt;$E$3</formula>
    </cfRule>
  </conditionalFormatting>
  <conditionalFormatting sqref="F14:G20">
    <cfRule type="expression" dxfId="13774" priority="2808">
      <formula>$C14=$E$3</formula>
    </cfRule>
    <cfRule type="expression" dxfId="13773" priority="2809">
      <formula>$C14&lt;$E$3</formula>
    </cfRule>
    <cfRule type="cellIs" dxfId="13772" priority="2810" operator="equal">
      <formula>0</formula>
    </cfRule>
    <cfRule type="expression" dxfId="13771" priority="2811">
      <formula>$C14&gt;$E$3</formula>
    </cfRule>
  </conditionalFormatting>
  <conditionalFormatting sqref="F14:G20">
    <cfRule type="expression" dxfId="13770" priority="2807">
      <formula>$E14=""</formula>
    </cfRule>
  </conditionalFormatting>
  <conditionalFormatting sqref="F14:G20">
    <cfRule type="expression" dxfId="13769" priority="2806">
      <formula>$C14&lt;$E$3</formula>
    </cfRule>
  </conditionalFormatting>
  <conditionalFormatting sqref="F14:G20">
    <cfRule type="expression" dxfId="13768" priority="2805">
      <formula>$E14=""</formula>
    </cfRule>
  </conditionalFormatting>
  <conditionalFormatting sqref="F14:G20">
    <cfRule type="expression" dxfId="13767" priority="2804">
      <formula>$E14=""</formula>
    </cfRule>
  </conditionalFormatting>
  <conditionalFormatting sqref="F14:G20">
    <cfRule type="expression" dxfId="13766" priority="2803">
      <formula>$C14&lt;$E$3</formula>
    </cfRule>
  </conditionalFormatting>
  <conditionalFormatting sqref="F14:G20">
    <cfRule type="expression" dxfId="13765" priority="2802">
      <formula>$E14=""</formula>
    </cfRule>
  </conditionalFormatting>
  <conditionalFormatting sqref="F14:G20">
    <cfRule type="expression" dxfId="13764" priority="2801">
      <formula>$C14&lt;$E$3</formula>
    </cfRule>
  </conditionalFormatting>
  <conditionalFormatting sqref="F14:G20">
    <cfRule type="expression" dxfId="13763" priority="2800">
      <formula>$E14=""</formula>
    </cfRule>
  </conditionalFormatting>
  <conditionalFormatting sqref="F14:G20">
    <cfRule type="expression" dxfId="13762" priority="2799">
      <formula>$C14&lt;$E$3</formula>
    </cfRule>
  </conditionalFormatting>
  <conditionalFormatting sqref="F14:G20">
    <cfRule type="expression" dxfId="13761" priority="2798">
      <formula>$E14=""</formula>
    </cfRule>
  </conditionalFormatting>
  <conditionalFormatting sqref="F23:G29">
    <cfRule type="expression" dxfId="13760" priority="2797">
      <formula>$C23&lt;$E$3</formula>
    </cfRule>
  </conditionalFormatting>
  <conditionalFormatting sqref="F23:G29">
    <cfRule type="expression" dxfId="13759" priority="2793">
      <formula>$C23=$E$3</formula>
    </cfRule>
    <cfRule type="expression" dxfId="13758" priority="2794">
      <formula>$C23&lt;$E$3</formula>
    </cfRule>
    <cfRule type="cellIs" dxfId="13757" priority="2795" operator="equal">
      <formula>0</formula>
    </cfRule>
    <cfRule type="expression" dxfId="13756" priority="2796">
      <formula>$C23&gt;$E$3</formula>
    </cfRule>
  </conditionalFormatting>
  <conditionalFormatting sqref="F23:G29">
    <cfRule type="expression" dxfId="13755" priority="2792">
      <formula>$C23&lt;$E$3</formula>
    </cfRule>
  </conditionalFormatting>
  <conditionalFormatting sqref="F23:G29">
    <cfRule type="expression" dxfId="13754" priority="2788">
      <formula>$C23=$E$3</formula>
    </cfRule>
    <cfRule type="expression" dxfId="13753" priority="2789">
      <formula>$C23&lt;$E$3</formula>
    </cfRule>
    <cfRule type="cellIs" dxfId="13752" priority="2790" operator="equal">
      <formula>0</formula>
    </cfRule>
    <cfRule type="expression" dxfId="13751" priority="2791">
      <formula>$C23&gt;$E$3</formula>
    </cfRule>
  </conditionalFormatting>
  <conditionalFormatting sqref="F23:G29">
    <cfRule type="expression" dxfId="13750" priority="2787">
      <formula>$E23=""</formula>
    </cfRule>
  </conditionalFormatting>
  <conditionalFormatting sqref="F23:G29">
    <cfRule type="expression" dxfId="13749" priority="2786">
      <formula>$C23&lt;$E$3</formula>
    </cfRule>
  </conditionalFormatting>
  <conditionalFormatting sqref="F23:G29">
    <cfRule type="expression" dxfId="13748" priority="2785">
      <formula>$E23=""</formula>
    </cfRule>
  </conditionalFormatting>
  <conditionalFormatting sqref="F23:G29">
    <cfRule type="expression" dxfId="13747" priority="2784">
      <formula>$E23=""</formula>
    </cfRule>
  </conditionalFormatting>
  <conditionalFormatting sqref="F23:G29">
    <cfRule type="expression" dxfId="13746" priority="2783">
      <formula>$C23&lt;$E$3</formula>
    </cfRule>
  </conditionalFormatting>
  <conditionalFormatting sqref="F23:G29">
    <cfRule type="expression" dxfId="13745" priority="2782">
      <formula>$E23=""</formula>
    </cfRule>
  </conditionalFormatting>
  <conditionalFormatting sqref="F23:G29">
    <cfRule type="expression" dxfId="13744" priority="2781">
      <formula>$C23&lt;$E$3</formula>
    </cfRule>
  </conditionalFormatting>
  <conditionalFormatting sqref="F23:G29">
    <cfRule type="expression" dxfId="13743" priority="2780">
      <formula>$E23=""</formula>
    </cfRule>
  </conditionalFormatting>
  <conditionalFormatting sqref="F23:G29">
    <cfRule type="expression" dxfId="13742" priority="2779">
      <formula>$C23&lt;$E$3</formula>
    </cfRule>
  </conditionalFormatting>
  <conditionalFormatting sqref="F23:G29">
    <cfRule type="expression" dxfId="13741" priority="2778">
      <formula>$E23=""</formula>
    </cfRule>
  </conditionalFormatting>
  <conditionalFormatting sqref="F38:H38 F32:G37">
    <cfRule type="expression" dxfId="13740" priority="2777">
      <formula>$C32&lt;$E$3</formula>
    </cfRule>
  </conditionalFormatting>
  <conditionalFormatting sqref="F38:H38 F32:G37">
    <cfRule type="expression" dxfId="13739" priority="2773">
      <formula>$C32=$E$3</formula>
    </cfRule>
    <cfRule type="expression" dxfId="13738" priority="2774">
      <formula>$C32&lt;$E$3</formula>
    </cfRule>
    <cfRule type="cellIs" dxfId="13737" priority="2775" operator="equal">
      <formula>0</formula>
    </cfRule>
    <cfRule type="expression" dxfId="13736" priority="2776">
      <formula>$C32&gt;$E$3</formula>
    </cfRule>
  </conditionalFormatting>
  <conditionalFormatting sqref="F38:H38 F32:G37">
    <cfRule type="expression" dxfId="13735" priority="2772">
      <formula>$C32&lt;$E$3</formula>
    </cfRule>
  </conditionalFormatting>
  <conditionalFormatting sqref="F38:H38 F32:G37">
    <cfRule type="expression" dxfId="13734" priority="2768">
      <formula>$C32=$E$3</formula>
    </cfRule>
    <cfRule type="expression" dxfId="13733" priority="2769">
      <formula>$C32&lt;$E$3</formula>
    </cfRule>
    <cfRule type="cellIs" dxfId="13732" priority="2770" operator="equal">
      <formula>0</formula>
    </cfRule>
    <cfRule type="expression" dxfId="13731" priority="2771">
      <formula>$C32&gt;$E$3</formula>
    </cfRule>
  </conditionalFormatting>
  <conditionalFormatting sqref="F38:H38 F32:G37">
    <cfRule type="expression" dxfId="13730" priority="2767">
      <formula>$E32=""</formula>
    </cfRule>
  </conditionalFormatting>
  <conditionalFormatting sqref="F38:H38 F32:G37">
    <cfRule type="expression" dxfId="13729" priority="2766">
      <formula>$C32&lt;$E$3</formula>
    </cfRule>
  </conditionalFormatting>
  <conditionalFormatting sqref="F38:H38 F32:G37">
    <cfRule type="expression" dxfId="13728" priority="2765">
      <formula>$E32=""</formula>
    </cfRule>
  </conditionalFormatting>
  <conditionalFormatting sqref="F38:H38 F32:G37">
    <cfRule type="expression" dxfId="13727" priority="2764">
      <formula>$E32=""</formula>
    </cfRule>
  </conditionalFormatting>
  <conditionalFormatting sqref="F38:H38 F32:G37">
    <cfRule type="expression" dxfId="13726" priority="2763">
      <formula>$C32&lt;$E$3</formula>
    </cfRule>
  </conditionalFormatting>
  <conditionalFormatting sqref="F38:H38 F32:G37">
    <cfRule type="expression" dxfId="13725" priority="2762">
      <formula>$E32=""</formula>
    </cfRule>
  </conditionalFormatting>
  <conditionalFormatting sqref="F38:H38 F32:G37">
    <cfRule type="expression" dxfId="13724" priority="2761">
      <formula>$C32&lt;$E$3</formula>
    </cfRule>
  </conditionalFormatting>
  <conditionalFormatting sqref="F38:H38 F32:G37">
    <cfRule type="expression" dxfId="13723" priority="2760">
      <formula>$E32=""</formula>
    </cfRule>
  </conditionalFormatting>
  <conditionalFormatting sqref="F38:H38 F32:G37">
    <cfRule type="expression" dxfId="13722" priority="2759">
      <formula>$C32&lt;$E$3</formula>
    </cfRule>
  </conditionalFormatting>
  <conditionalFormatting sqref="F38:H38 F32:G37">
    <cfRule type="expression" dxfId="13721" priority="2758">
      <formula>$E32=""</formula>
    </cfRule>
  </conditionalFormatting>
  <conditionalFormatting sqref="F41:H47">
    <cfRule type="expression" dxfId="13720" priority="2757">
      <formula>$C41&lt;$E$3</formula>
    </cfRule>
  </conditionalFormatting>
  <conditionalFormatting sqref="F41:H47">
    <cfRule type="expression" dxfId="13719" priority="2753">
      <formula>$C41=$E$3</formula>
    </cfRule>
    <cfRule type="expression" dxfId="13718" priority="2754">
      <formula>$C41&lt;$E$3</formula>
    </cfRule>
    <cfRule type="cellIs" dxfId="13717" priority="2755" operator="equal">
      <formula>0</formula>
    </cfRule>
    <cfRule type="expression" dxfId="13716" priority="2756">
      <formula>$C41&gt;$E$3</formula>
    </cfRule>
  </conditionalFormatting>
  <conditionalFormatting sqref="F41:H47">
    <cfRule type="expression" dxfId="13715" priority="2752">
      <formula>$C41&lt;$E$3</formula>
    </cfRule>
  </conditionalFormatting>
  <conditionalFormatting sqref="F41:H47">
    <cfRule type="expression" dxfId="13714" priority="2748">
      <formula>$C41=$E$3</formula>
    </cfRule>
    <cfRule type="expression" dxfId="13713" priority="2749">
      <formula>$C41&lt;$E$3</formula>
    </cfRule>
    <cfRule type="cellIs" dxfId="13712" priority="2750" operator="equal">
      <formula>0</formula>
    </cfRule>
    <cfRule type="expression" dxfId="13711" priority="2751">
      <formula>$C41&gt;$E$3</formula>
    </cfRule>
  </conditionalFormatting>
  <conditionalFormatting sqref="F41:H47">
    <cfRule type="expression" dxfId="13710" priority="2747">
      <formula>$E41=""</formula>
    </cfRule>
  </conditionalFormatting>
  <conditionalFormatting sqref="F41:H47">
    <cfRule type="expression" dxfId="13709" priority="2746">
      <formula>$C41&lt;$E$3</formula>
    </cfRule>
  </conditionalFormatting>
  <conditionalFormatting sqref="F41:H47">
    <cfRule type="expression" dxfId="13708" priority="2745">
      <formula>$E41=""</formula>
    </cfRule>
  </conditionalFormatting>
  <conditionalFormatting sqref="F41:H47">
    <cfRule type="expression" dxfId="13707" priority="2744">
      <formula>$E41=""</formula>
    </cfRule>
  </conditionalFormatting>
  <conditionalFormatting sqref="F41:H47">
    <cfRule type="expression" dxfId="13706" priority="2743">
      <formula>$C41&lt;$E$3</formula>
    </cfRule>
  </conditionalFormatting>
  <conditionalFormatting sqref="F41:H47">
    <cfRule type="expression" dxfId="13705" priority="2742">
      <formula>$E41=""</formula>
    </cfRule>
  </conditionalFormatting>
  <conditionalFormatting sqref="F41:H47">
    <cfRule type="expression" dxfId="13704" priority="2741">
      <formula>$C41&lt;$E$3</formula>
    </cfRule>
  </conditionalFormatting>
  <conditionalFormatting sqref="F41:H47">
    <cfRule type="expression" dxfId="13703" priority="2740">
      <formula>$E41=""</formula>
    </cfRule>
  </conditionalFormatting>
  <conditionalFormatting sqref="F41:H47">
    <cfRule type="expression" dxfId="13702" priority="2739">
      <formula>$C41&lt;$E$3</formula>
    </cfRule>
  </conditionalFormatting>
  <conditionalFormatting sqref="F41:H47">
    <cfRule type="expression" dxfId="13701" priority="2738">
      <formula>$E41=""</formula>
    </cfRule>
  </conditionalFormatting>
  <conditionalFormatting sqref="F50:H51">
    <cfRule type="cellIs" dxfId="13700" priority="2737" stopIfTrue="1" operator="lessThan">
      <formula>0</formula>
    </cfRule>
  </conditionalFormatting>
  <conditionalFormatting sqref="F50:H51">
    <cfRule type="expression" dxfId="13699" priority="2736">
      <formula>$C50&lt;$E$3</formula>
    </cfRule>
  </conditionalFormatting>
  <conditionalFormatting sqref="F50:H51">
    <cfRule type="expression" dxfId="13698" priority="2732">
      <formula>$C50=$E$3</formula>
    </cfRule>
    <cfRule type="expression" dxfId="13697" priority="2733">
      <formula>$C50&lt;$E$3</formula>
    </cfRule>
    <cfRule type="cellIs" dxfId="13696" priority="2734" operator="equal">
      <formula>0</formula>
    </cfRule>
    <cfRule type="expression" dxfId="13695" priority="2735">
      <formula>$C50&gt;$E$3</formula>
    </cfRule>
  </conditionalFormatting>
  <conditionalFormatting sqref="F50:H51">
    <cfRule type="expression" dxfId="13694" priority="2731">
      <formula>$C50&lt;$E$3</formula>
    </cfRule>
  </conditionalFormatting>
  <conditionalFormatting sqref="F50:H51">
    <cfRule type="expression" dxfId="13693" priority="2727">
      <formula>$C50=$E$3</formula>
    </cfRule>
    <cfRule type="expression" dxfId="13692" priority="2728">
      <formula>$C50&lt;$E$3</formula>
    </cfRule>
    <cfRule type="cellIs" dxfId="13691" priority="2729" operator="equal">
      <formula>0</formula>
    </cfRule>
    <cfRule type="expression" dxfId="13690" priority="2730">
      <formula>$C50&gt;$E$3</formula>
    </cfRule>
  </conditionalFormatting>
  <conditionalFormatting sqref="F50:H51">
    <cfRule type="expression" dxfId="13689" priority="2726">
      <formula>$C50&lt;$E$3</formula>
    </cfRule>
  </conditionalFormatting>
  <conditionalFormatting sqref="F50:H51">
    <cfRule type="expression" dxfId="13688" priority="2722">
      <formula>$C50=$E$3</formula>
    </cfRule>
    <cfRule type="expression" dxfId="13687" priority="2723">
      <formula>$C50&lt;$E$3</formula>
    </cfRule>
    <cfRule type="cellIs" dxfId="13686" priority="2724" operator="equal">
      <formula>0</formula>
    </cfRule>
    <cfRule type="expression" dxfId="13685" priority="2725">
      <formula>$C50&gt;$E$3</formula>
    </cfRule>
  </conditionalFormatting>
  <conditionalFormatting sqref="F50:H51">
    <cfRule type="expression" dxfId="13684" priority="2721">
      <formula>$C50&lt;$E$3</formula>
    </cfRule>
  </conditionalFormatting>
  <conditionalFormatting sqref="F50:H51">
    <cfRule type="expression" dxfId="13683" priority="2717">
      <formula>$C50=$E$3</formula>
    </cfRule>
    <cfRule type="expression" dxfId="13682" priority="2718">
      <formula>$C50&lt;$E$3</formula>
    </cfRule>
    <cfRule type="cellIs" dxfId="13681" priority="2719" operator="equal">
      <formula>0</formula>
    </cfRule>
    <cfRule type="expression" dxfId="13680" priority="2720">
      <formula>$C50&gt;$E$3</formula>
    </cfRule>
  </conditionalFormatting>
  <conditionalFormatting sqref="F50:H51">
    <cfRule type="expression" dxfId="13679" priority="2716">
      <formula>$E50=""</formula>
    </cfRule>
  </conditionalFormatting>
  <conditionalFormatting sqref="F50:H51">
    <cfRule type="expression" dxfId="13678" priority="2715">
      <formula>$C50&lt;$E$3</formula>
    </cfRule>
  </conditionalFormatting>
  <conditionalFormatting sqref="F50:H51">
    <cfRule type="expression" dxfId="13677" priority="2714">
      <formula>$E50=""</formula>
    </cfRule>
  </conditionalFormatting>
  <conditionalFormatting sqref="F50:H51">
    <cfRule type="expression" dxfId="13676" priority="2713">
      <formula>$E50=""</formula>
    </cfRule>
  </conditionalFormatting>
  <conditionalFormatting sqref="F50:H51">
    <cfRule type="expression" dxfId="13675" priority="2712">
      <formula>$C50&lt;$E$3</formula>
    </cfRule>
  </conditionalFormatting>
  <conditionalFormatting sqref="F50:H51">
    <cfRule type="expression" dxfId="13674" priority="2711">
      <formula>$E50=""</formula>
    </cfRule>
  </conditionalFormatting>
  <conditionalFormatting sqref="F50:H51">
    <cfRule type="expression" dxfId="13673" priority="2710">
      <formula>$C50&lt;$E$3</formula>
    </cfRule>
  </conditionalFormatting>
  <conditionalFormatting sqref="F50:H51">
    <cfRule type="expression" dxfId="13672" priority="2709">
      <formula>$E50=""</formula>
    </cfRule>
  </conditionalFormatting>
  <conditionalFormatting sqref="F50:H51">
    <cfRule type="expression" dxfId="13671" priority="2708">
      <formula>$C50&lt;$E$3</formula>
    </cfRule>
  </conditionalFormatting>
  <conditionalFormatting sqref="F50:H51">
    <cfRule type="expression" dxfId="13670" priority="2707">
      <formula>$E50=""</formula>
    </cfRule>
  </conditionalFormatting>
  <conditionalFormatting sqref="E14:E20 E5:E11 E41:E47 E32:E38 E23:E29 E50:E51">
    <cfRule type="containsText" dxfId="13669" priority="2700" operator="containsText" text="Sa">
      <formula>NOT(ISERROR(SEARCH("Sa",E5)))</formula>
    </cfRule>
    <cfRule type="containsText" dxfId="13668" priority="2702" operator="containsText" text="Fr">
      <formula>NOT(ISERROR(SEARCH("Fr",E5)))</formula>
    </cfRule>
    <cfRule type="containsText" dxfId="13667" priority="2703" operator="containsText" text="Th">
      <formula>NOT(ISERROR(SEARCH("Th",E5)))</formula>
    </cfRule>
  </conditionalFormatting>
  <conditionalFormatting sqref="E14:E20 E5:E11 E41:E47 E32:E38 E23:E29 E50:E51">
    <cfRule type="containsText" dxfId="13666" priority="2704" operator="containsText" text="Wed">
      <formula>NOT(ISERROR(SEARCH("Wed",E5)))</formula>
    </cfRule>
    <cfRule type="containsText" dxfId="13665" priority="2705" operator="containsText" text="Tu">
      <formula>NOT(ISERROR(SEARCH("Tu",E5)))</formula>
    </cfRule>
    <cfRule type="beginsWith" dxfId="13664" priority="2706" operator="beginsWith" text="M">
      <formula>LEFT(E5,1)="M"</formula>
    </cfRule>
  </conditionalFormatting>
  <conditionalFormatting sqref="E14:E20 E5:E11 E41:E47 E32:E38 E23:E29 E50:E51">
    <cfRule type="containsText" dxfId="13663" priority="2701" operator="containsText" text="Su">
      <formula>NOT(ISERROR(SEARCH("Su",E5)))</formula>
    </cfRule>
  </conditionalFormatting>
  <conditionalFormatting sqref="C4">
    <cfRule type="cellIs" dxfId="13662" priority="2696" stopIfTrue="1" operator="notBetween">
      <formula>$B$2</formula>
      <formula>$B$3</formula>
    </cfRule>
  </conditionalFormatting>
  <conditionalFormatting sqref="C4">
    <cfRule type="cellIs" dxfId="13661" priority="2697" operator="greaterThan">
      <formula>$E$3</formula>
    </cfRule>
    <cfRule type="cellIs" dxfId="13660" priority="2698" operator="equal">
      <formula>$E$3</formula>
    </cfRule>
    <cfRule type="cellIs" dxfId="13659" priority="2699" operator="lessThan">
      <formula>$E$3</formula>
    </cfRule>
  </conditionalFormatting>
  <conditionalFormatting sqref="H23:H29 H32 H14:H20 H11">
    <cfRule type="cellIs" dxfId="13658" priority="2506" stopIfTrue="1" operator="lessThan">
      <formula>0</formula>
    </cfRule>
  </conditionalFormatting>
  <conditionalFormatting sqref="H12">
    <cfRule type="expression" dxfId="13657" priority="2505">
      <formula>$F12&gt;=$F13</formula>
    </cfRule>
  </conditionalFormatting>
  <conditionalFormatting sqref="H21">
    <cfRule type="expression" dxfId="13656" priority="2504">
      <formula>$F21&gt;=$F22</formula>
    </cfRule>
  </conditionalFormatting>
  <conditionalFormatting sqref="H30">
    <cfRule type="expression" dxfId="13655" priority="2503">
      <formula>$F30&gt;=$F31</formula>
    </cfRule>
  </conditionalFormatting>
  <conditionalFormatting sqref="H12">
    <cfRule type="expression" dxfId="13654" priority="2502">
      <formula>$F12&gt;=$F13</formula>
    </cfRule>
  </conditionalFormatting>
  <conditionalFormatting sqref="H21">
    <cfRule type="expression" dxfId="13653" priority="2501">
      <formula>$F21&gt;=$F22</formula>
    </cfRule>
  </conditionalFormatting>
  <conditionalFormatting sqref="H30">
    <cfRule type="expression" dxfId="13652" priority="2500">
      <formula>$F30&gt;=$F31</formula>
    </cfRule>
  </conditionalFormatting>
  <conditionalFormatting sqref="H11">
    <cfRule type="expression" dxfId="13651" priority="2498">
      <formula>$C11&lt;$E$3</formula>
    </cfRule>
  </conditionalFormatting>
  <conditionalFormatting sqref="H11">
    <cfRule type="expression" dxfId="13650" priority="2495">
      <formula>$C11=$E$3</formula>
    </cfRule>
    <cfRule type="expression" dxfId="13649" priority="2496">
      <formula>$C11&lt;$E$3</formula>
    </cfRule>
    <cfRule type="cellIs" dxfId="13648" priority="2497" operator="equal">
      <formula>0</formula>
    </cfRule>
    <cfRule type="expression" dxfId="13647" priority="2499">
      <formula>$C11&gt;$E$3</formula>
    </cfRule>
  </conditionalFormatting>
  <conditionalFormatting sqref="H11">
    <cfRule type="expression" dxfId="13646" priority="2494">
      <formula>$C11&lt;$E$3</formula>
    </cfRule>
  </conditionalFormatting>
  <conditionalFormatting sqref="H11">
    <cfRule type="expression" dxfId="13645" priority="2490">
      <formula>$C11=$E$3</formula>
    </cfRule>
    <cfRule type="expression" dxfId="13644" priority="2491">
      <formula>$C11&lt;$E$3</formula>
    </cfRule>
    <cfRule type="cellIs" dxfId="13643" priority="2492" operator="equal">
      <formula>0</formula>
    </cfRule>
    <cfRule type="expression" dxfId="13642" priority="2493">
      <formula>$C11&gt;$E$3</formula>
    </cfRule>
  </conditionalFormatting>
  <conditionalFormatting sqref="H11">
    <cfRule type="expression" dxfId="13641" priority="2489">
      <formula>$C11&lt;$E$3</formula>
    </cfRule>
  </conditionalFormatting>
  <conditionalFormatting sqref="H11">
    <cfRule type="expression" dxfId="13640" priority="2485">
      <formula>$C11=$E$3</formula>
    </cfRule>
    <cfRule type="expression" dxfId="13639" priority="2486">
      <formula>$C11&lt;$E$3</formula>
    </cfRule>
    <cfRule type="cellIs" dxfId="13638" priority="2487" operator="equal">
      <formula>0</formula>
    </cfRule>
    <cfRule type="expression" dxfId="13637" priority="2488">
      <formula>$C11&gt;$E$3</formula>
    </cfRule>
  </conditionalFormatting>
  <conditionalFormatting sqref="H11">
    <cfRule type="expression" dxfId="13636" priority="2484">
      <formula>$C11&lt;$E$3</formula>
    </cfRule>
  </conditionalFormatting>
  <conditionalFormatting sqref="H11">
    <cfRule type="expression" dxfId="13635" priority="2480">
      <formula>$C11=$E$3</formula>
    </cfRule>
    <cfRule type="expression" dxfId="13634" priority="2481">
      <formula>$C11&lt;$E$3</formula>
    </cfRule>
    <cfRule type="cellIs" dxfId="13633" priority="2482" operator="equal">
      <formula>0</formula>
    </cfRule>
    <cfRule type="expression" dxfId="13632" priority="2483">
      <formula>$C11&gt;$E$3</formula>
    </cfRule>
  </conditionalFormatting>
  <conditionalFormatting sqref="H11">
    <cfRule type="expression" dxfId="13631" priority="2479">
      <formula>$E11=""</formula>
    </cfRule>
  </conditionalFormatting>
  <conditionalFormatting sqref="H11">
    <cfRule type="expression" dxfId="13630" priority="2478">
      <formula>$C11&lt;$E$3</formula>
    </cfRule>
  </conditionalFormatting>
  <conditionalFormatting sqref="H11">
    <cfRule type="expression" dxfId="13629" priority="2477">
      <formula>$E11=""</formula>
    </cfRule>
  </conditionalFormatting>
  <conditionalFormatting sqref="H11">
    <cfRule type="expression" dxfId="13628" priority="2476">
      <formula>$E11=""</formula>
    </cfRule>
  </conditionalFormatting>
  <conditionalFormatting sqref="H11">
    <cfRule type="expression" dxfId="13627" priority="2475">
      <formula>$C11&lt;$E$3</formula>
    </cfRule>
  </conditionalFormatting>
  <conditionalFormatting sqref="H11">
    <cfRule type="expression" dxfId="13626" priority="2474">
      <formula>$E11=""</formula>
    </cfRule>
  </conditionalFormatting>
  <conditionalFormatting sqref="H11">
    <cfRule type="expression" dxfId="13625" priority="2473">
      <formula>$C11&lt;$E$3</formula>
    </cfRule>
  </conditionalFormatting>
  <conditionalFormatting sqref="H11">
    <cfRule type="expression" dxfId="13624" priority="2472">
      <formula>$E11=""</formula>
    </cfRule>
  </conditionalFormatting>
  <conditionalFormatting sqref="H11">
    <cfRule type="expression" dxfId="13623" priority="2471">
      <formula>$C11&lt;$E$3</formula>
    </cfRule>
  </conditionalFormatting>
  <conditionalFormatting sqref="H11">
    <cfRule type="expression" dxfId="13622" priority="2470">
      <formula>$E11=""</formula>
    </cfRule>
  </conditionalFormatting>
  <conditionalFormatting sqref="H14:H20">
    <cfRule type="expression" dxfId="13621" priority="2468">
      <formula>$C14&lt;$E$3</formula>
    </cfRule>
  </conditionalFormatting>
  <conditionalFormatting sqref="H14:H20">
    <cfRule type="expression" dxfId="13620" priority="2465">
      <formula>$C14=$E$3</formula>
    </cfRule>
    <cfRule type="expression" dxfId="13619" priority="2466">
      <formula>$C14&lt;$E$3</formula>
    </cfRule>
    <cfRule type="cellIs" dxfId="13618" priority="2467" operator="equal">
      <formula>0</formula>
    </cfRule>
    <cfRule type="expression" dxfId="13617" priority="2469">
      <formula>$C14&gt;$E$3</formula>
    </cfRule>
  </conditionalFormatting>
  <conditionalFormatting sqref="H14:H20">
    <cfRule type="expression" dxfId="13616" priority="2464">
      <formula>$C14&lt;$E$3</formula>
    </cfRule>
  </conditionalFormatting>
  <conditionalFormatting sqref="H14:H20">
    <cfRule type="expression" dxfId="13615" priority="2460">
      <formula>$C14=$E$3</formula>
    </cfRule>
    <cfRule type="expression" dxfId="13614" priority="2461">
      <formula>$C14&lt;$E$3</formula>
    </cfRule>
    <cfRule type="cellIs" dxfId="13613" priority="2462" operator="equal">
      <formula>0</formula>
    </cfRule>
    <cfRule type="expression" dxfId="13612" priority="2463">
      <formula>$C14&gt;$E$3</formula>
    </cfRule>
  </conditionalFormatting>
  <conditionalFormatting sqref="H14:H20">
    <cfRule type="expression" dxfId="13611" priority="2459">
      <formula>$C14&lt;$E$3</formula>
    </cfRule>
  </conditionalFormatting>
  <conditionalFormatting sqref="H14:H20">
    <cfRule type="expression" dxfId="13610" priority="2455">
      <formula>$C14=$E$3</formula>
    </cfRule>
    <cfRule type="expression" dxfId="13609" priority="2456">
      <formula>$C14&lt;$E$3</formula>
    </cfRule>
    <cfRule type="cellIs" dxfId="13608" priority="2457" operator="equal">
      <formula>0</formula>
    </cfRule>
    <cfRule type="expression" dxfId="13607" priority="2458">
      <formula>$C14&gt;$E$3</formula>
    </cfRule>
  </conditionalFormatting>
  <conditionalFormatting sqref="H14:H20">
    <cfRule type="expression" dxfId="13606" priority="2454">
      <formula>$C14&lt;$E$3</formula>
    </cfRule>
  </conditionalFormatting>
  <conditionalFormatting sqref="H14:H20">
    <cfRule type="expression" dxfId="13605" priority="2450">
      <formula>$C14=$E$3</formula>
    </cfRule>
    <cfRule type="expression" dxfId="13604" priority="2451">
      <formula>$C14&lt;$E$3</formula>
    </cfRule>
    <cfRule type="cellIs" dxfId="13603" priority="2452" operator="equal">
      <formula>0</formula>
    </cfRule>
    <cfRule type="expression" dxfId="13602" priority="2453">
      <formula>$C14&gt;$E$3</formula>
    </cfRule>
  </conditionalFormatting>
  <conditionalFormatting sqref="H14:H20">
    <cfRule type="expression" dxfId="13601" priority="2449">
      <formula>$E14=""</formula>
    </cfRule>
  </conditionalFormatting>
  <conditionalFormatting sqref="H14:H20">
    <cfRule type="expression" dxfId="13600" priority="2448">
      <formula>$C14&lt;$E$3</formula>
    </cfRule>
  </conditionalFormatting>
  <conditionalFormatting sqref="H14:H20">
    <cfRule type="expression" dxfId="13599" priority="2447">
      <formula>$E14=""</formula>
    </cfRule>
  </conditionalFormatting>
  <conditionalFormatting sqref="H14:H20">
    <cfRule type="expression" dxfId="13598" priority="2446">
      <formula>$E14=""</formula>
    </cfRule>
  </conditionalFormatting>
  <conditionalFormatting sqref="H14:H20">
    <cfRule type="expression" dxfId="13597" priority="2445">
      <formula>$C14&lt;$E$3</formula>
    </cfRule>
  </conditionalFormatting>
  <conditionalFormatting sqref="H14:H20">
    <cfRule type="expression" dxfId="13596" priority="2444">
      <formula>$E14=""</formula>
    </cfRule>
  </conditionalFormatting>
  <conditionalFormatting sqref="H14:H20">
    <cfRule type="expression" dxfId="13595" priority="2443">
      <formula>$C14&lt;$E$3</formula>
    </cfRule>
  </conditionalFormatting>
  <conditionalFormatting sqref="H14:H20">
    <cfRule type="expression" dxfId="13594" priority="2442">
      <formula>$E14=""</formula>
    </cfRule>
  </conditionalFormatting>
  <conditionalFormatting sqref="H14:H20">
    <cfRule type="expression" dxfId="13593" priority="2441">
      <formula>$C14&lt;$E$3</formula>
    </cfRule>
  </conditionalFormatting>
  <conditionalFormatting sqref="H14:H20">
    <cfRule type="expression" dxfId="13592" priority="2440">
      <formula>$E14=""</formula>
    </cfRule>
  </conditionalFormatting>
  <conditionalFormatting sqref="H23:H29">
    <cfRule type="expression" dxfId="13591" priority="2438">
      <formula>$C23&lt;$E$3</formula>
    </cfRule>
  </conditionalFormatting>
  <conditionalFormatting sqref="H23:H29">
    <cfRule type="expression" dxfId="13590" priority="2435">
      <formula>$C23=$E$3</formula>
    </cfRule>
    <cfRule type="expression" dxfId="13589" priority="2436">
      <formula>$C23&lt;$E$3</formula>
    </cfRule>
    <cfRule type="cellIs" dxfId="13588" priority="2437" operator="equal">
      <formula>0</formula>
    </cfRule>
    <cfRule type="expression" dxfId="13587" priority="2439">
      <formula>$C23&gt;$E$3</formula>
    </cfRule>
  </conditionalFormatting>
  <conditionalFormatting sqref="H23:H29">
    <cfRule type="expression" dxfId="13586" priority="2434">
      <formula>$C23&lt;$E$3</formula>
    </cfRule>
  </conditionalFormatting>
  <conditionalFormatting sqref="H23:H29">
    <cfRule type="expression" dxfId="13585" priority="2430">
      <formula>$C23=$E$3</formula>
    </cfRule>
    <cfRule type="expression" dxfId="13584" priority="2431">
      <formula>$C23&lt;$E$3</formula>
    </cfRule>
    <cfRule type="cellIs" dxfId="13583" priority="2432" operator="equal">
      <formula>0</formula>
    </cfRule>
    <cfRule type="expression" dxfId="13582" priority="2433">
      <formula>$C23&gt;$E$3</formula>
    </cfRule>
  </conditionalFormatting>
  <conditionalFormatting sqref="H23:H29">
    <cfRule type="expression" dxfId="13581" priority="2429">
      <formula>$C23&lt;$E$3</formula>
    </cfRule>
  </conditionalFormatting>
  <conditionalFormatting sqref="H23:H29">
    <cfRule type="expression" dxfId="13580" priority="2425">
      <formula>$C23=$E$3</formula>
    </cfRule>
    <cfRule type="expression" dxfId="13579" priority="2426">
      <formula>$C23&lt;$E$3</formula>
    </cfRule>
    <cfRule type="cellIs" dxfId="13578" priority="2427" operator="equal">
      <formula>0</formula>
    </cfRule>
    <cfRule type="expression" dxfId="13577" priority="2428">
      <formula>$C23&gt;$E$3</formula>
    </cfRule>
  </conditionalFormatting>
  <conditionalFormatting sqref="H23:H29">
    <cfRule type="expression" dxfId="13576" priority="2424">
      <formula>$C23&lt;$E$3</formula>
    </cfRule>
  </conditionalFormatting>
  <conditionalFormatting sqref="H23:H29">
    <cfRule type="expression" dxfId="13575" priority="2420">
      <formula>$C23=$E$3</formula>
    </cfRule>
    <cfRule type="expression" dxfId="13574" priority="2421">
      <formula>$C23&lt;$E$3</formula>
    </cfRule>
    <cfRule type="cellIs" dxfId="13573" priority="2422" operator="equal">
      <formula>0</formula>
    </cfRule>
    <cfRule type="expression" dxfId="13572" priority="2423">
      <formula>$C23&gt;$E$3</formula>
    </cfRule>
  </conditionalFormatting>
  <conditionalFormatting sqref="H23:H29">
    <cfRule type="expression" dxfId="13571" priority="2419">
      <formula>$E23=""</formula>
    </cfRule>
  </conditionalFormatting>
  <conditionalFormatting sqref="H23:H29">
    <cfRule type="expression" dxfId="13570" priority="2418">
      <formula>$C23&lt;$E$3</formula>
    </cfRule>
  </conditionalFormatting>
  <conditionalFormatting sqref="H23:H29">
    <cfRule type="expression" dxfId="13569" priority="2417">
      <formula>$E23=""</formula>
    </cfRule>
  </conditionalFormatting>
  <conditionalFormatting sqref="H23:H29">
    <cfRule type="expression" dxfId="13568" priority="2416">
      <formula>$E23=""</formula>
    </cfRule>
  </conditionalFormatting>
  <conditionalFormatting sqref="H23:H29">
    <cfRule type="expression" dxfId="13567" priority="2415">
      <formula>$C23&lt;$E$3</formula>
    </cfRule>
  </conditionalFormatting>
  <conditionalFormatting sqref="H23:H29">
    <cfRule type="expression" dxfId="13566" priority="2414">
      <formula>$E23=""</formula>
    </cfRule>
  </conditionalFormatting>
  <conditionalFormatting sqref="H23:H29">
    <cfRule type="expression" dxfId="13565" priority="2413">
      <formula>$C23&lt;$E$3</formula>
    </cfRule>
  </conditionalFormatting>
  <conditionalFormatting sqref="H23:H29">
    <cfRule type="expression" dxfId="13564" priority="2412">
      <formula>$E23=""</formula>
    </cfRule>
  </conditionalFormatting>
  <conditionalFormatting sqref="H23:H29">
    <cfRule type="expression" dxfId="13563" priority="2411">
      <formula>$C23&lt;$E$3</formula>
    </cfRule>
  </conditionalFormatting>
  <conditionalFormatting sqref="H23:H29">
    <cfRule type="expression" dxfId="13562" priority="2410">
      <formula>$E23=""</formula>
    </cfRule>
  </conditionalFormatting>
  <conditionalFormatting sqref="H32">
    <cfRule type="expression" dxfId="13561" priority="2408">
      <formula>$C32&lt;$E$3</formula>
    </cfRule>
  </conditionalFormatting>
  <conditionalFormatting sqref="H32">
    <cfRule type="expression" dxfId="13560" priority="2405">
      <formula>$C32=$E$3</formula>
    </cfRule>
    <cfRule type="expression" dxfId="13559" priority="2406">
      <formula>$C32&lt;$E$3</formula>
    </cfRule>
    <cfRule type="cellIs" dxfId="13558" priority="2407" operator="equal">
      <formula>0</formula>
    </cfRule>
    <cfRule type="expression" dxfId="13557" priority="2409">
      <formula>$C32&gt;$E$3</formula>
    </cfRule>
  </conditionalFormatting>
  <conditionalFormatting sqref="H32">
    <cfRule type="expression" dxfId="13556" priority="2404">
      <formula>$C32&lt;$E$3</formula>
    </cfRule>
  </conditionalFormatting>
  <conditionalFormatting sqref="H32">
    <cfRule type="expression" dxfId="13555" priority="2400">
      <formula>$C32=$E$3</formula>
    </cfRule>
    <cfRule type="expression" dxfId="13554" priority="2401">
      <formula>$C32&lt;$E$3</formula>
    </cfRule>
    <cfRule type="cellIs" dxfId="13553" priority="2402" operator="equal">
      <formula>0</formula>
    </cfRule>
    <cfRule type="expression" dxfId="13552" priority="2403">
      <formula>$C32&gt;$E$3</formula>
    </cfRule>
  </conditionalFormatting>
  <conditionalFormatting sqref="H32">
    <cfRule type="expression" dxfId="13551" priority="2399">
      <formula>$C32&lt;$E$3</formula>
    </cfRule>
  </conditionalFormatting>
  <conditionalFormatting sqref="H32">
    <cfRule type="expression" dxfId="13550" priority="2395">
      <formula>$C32=$E$3</formula>
    </cfRule>
    <cfRule type="expression" dxfId="13549" priority="2396">
      <formula>$C32&lt;$E$3</formula>
    </cfRule>
    <cfRule type="cellIs" dxfId="13548" priority="2397" operator="equal">
      <formula>0</formula>
    </cfRule>
    <cfRule type="expression" dxfId="13547" priority="2398">
      <formula>$C32&gt;$E$3</formula>
    </cfRule>
  </conditionalFormatting>
  <conditionalFormatting sqref="H32">
    <cfRule type="expression" dxfId="13546" priority="2394">
      <formula>$C32&lt;$E$3</formula>
    </cfRule>
  </conditionalFormatting>
  <conditionalFormatting sqref="H32">
    <cfRule type="expression" dxfId="13545" priority="2390">
      <formula>$C32=$E$3</formula>
    </cfRule>
    <cfRule type="expression" dxfId="13544" priority="2391">
      <formula>$C32&lt;$E$3</formula>
    </cfRule>
    <cfRule type="cellIs" dxfId="13543" priority="2392" operator="equal">
      <formula>0</formula>
    </cfRule>
    <cfRule type="expression" dxfId="13542" priority="2393">
      <formula>$C32&gt;$E$3</formula>
    </cfRule>
  </conditionalFormatting>
  <conditionalFormatting sqref="H32">
    <cfRule type="expression" dxfId="13541" priority="2389">
      <formula>$E32=""</formula>
    </cfRule>
  </conditionalFormatting>
  <conditionalFormatting sqref="H32">
    <cfRule type="expression" dxfId="13540" priority="2388">
      <formula>$C32&lt;$E$3</formula>
    </cfRule>
  </conditionalFormatting>
  <conditionalFormatting sqref="H32">
    <cfRule type="expression" dxfId="13539" priority="2387">
      <formula>$E32=""</formula>
    </cfRule>
  </conditionalFormatting>
  <conditionalFormatting sqref="H32">
    <cfRule type="expression" dxfId="13538" priority="2386">
      <formula>$E32=""</formula>
    </cfRule>
  </conditionalFormatting>
  <conditionalFormatting sqref="H32">
    <cfRule type="expression" dxfId="13537" priority="2385">
      <formula>$C32&lt;$E$3</formula>
    </cfRule>
  </conditionalFormatting>
  <conditionalFormatting sqref="H32">
    <cfRule type="expression" dxfId="13536" priority="2384">
      <formula>$E32=""</formula>
    </cfRule>
  </conditionalFormatting>
  <conditionalFormatting sqref="H32">
    <cfRule type="expression" dxfId="13535" priority="2383">
      <formula>$C32&lt;$E$3</formula>
    </cfRule>
  </conditionalFormatting>
  <conditionalFormatting sqref="H32">
    <cfRule type="expression" dxfId="13534" priority="2382">
      <formula>$E32=""</formula>
    </cfRule>
  </conditionalFormatting>
  <conditionalFormatting sqref="H32">
    <cfRule type="expression" dxfId="13533" priority="2381">
      <formula>$C32&lt;$E$3</formula>
    </cfRule>
  </conditionalFormatting>
  <conditionalFormatting sqref="H32">
    <cfRule type="expression" dxfId="13532" priority="2380">
      <formula>$E32=""</formula>
    </cfRule>
  </conditionalFormatting>
  <conditionalFormatting sqref="V50:W51 V5:W20 V23:W29 V32:W38 V41:W47">
    <cfRule type="cellIs" dxfId="13531" priority="2379" stopIfTrue="1" operator="lessThan">
      <formula>0</formula>
    </cfRule>
  </conditionalFormatting>
  <conditionalFormatting sqref="F52:H52">
    <cfRule type="expression" dxfId="13530" priority="2877" stopIfTrue="1">
      <formula>$H$52=-1E-55</formula>
    </cfRule>
    <cfRule type="expression" dxfId="13529" priority="2878">
      <formula>$F52&gt;=$F53</formula>
    </cfRule>
  </conditionalFormatting>
  <conditionalFormatting sqref="H33:H37">
    <cfRule type="cellIs" dxfId="13528" priority="2293" stopIfTrue="1" operator="lessThan">
      <formula>0</formula>
    </cfRule>
  </conditionalFormatting>
  <conditionalFormatting sqref="H33:H37">
    <cfRule type="expression" dxfId="13527" priority="2297">
      <formula>$C33&lt;$E$3</formula>
    </cfRule>
  </conditionalFormatting>
  <conditionalFormatting sqref="H33:H37">
    <cfRule type="expression" dxfId="13526" priority="2294">
      <formula>$C33=$E$3</formula>
    </cfRule>
    <cfRule type="expression" dxfId="13525" priority="2295">
      <formula>$C33&lt;$E$3</formula>
    </cfRule>
    <cfRule type="cellIs" dxfId="13524" priority="2296" operator="equal">
      <formula>0</formula>
    </cfRule>
    <cfRule type="expression" dxfId="13523" priority="2298">
      <formula>$C33&gt;$E$3</formula>
    </cfRule>
  </conditionalFormatting>
  <conditionalFormatting sqref="H33:H37">
    <cfRule type="expression" dxfId="13522" priority="2292">
      <formula>$C33&lt;$E$3</formula>
    </cfRule>
  </conditionalFormatting>
  <conditionalFormatting sqref="H33:H37">
    <cfRule type="expression" dxfId="13521" priority="2288">
      <formula>$C33=$E$3</formula>
    </cfRule>
    <cfRule type="expression" dxfId="13520" priority="2289">
      <formula>$C33&lt;$E$3</formula>
    </cfRule>
    <cfRule type="cellIs" dxfId="13519" priority="2290" operator="equal">
      <formula>0</formula>
    </cfRule>
    <cfRule type="expression" dxfId="13518" priority="2291">
      <formula>$C33&gt;$E$3</formula>
    </cfRule>
  </conditionalFormatting>
  <conditionalFormatting sqref="H33:H37">
    <cfRule type="expression" dxfId="13517" priority="2287">
      <formula>$E33=""</formula>
    </cfRule>
  </conditionalFormatting>
  <conditionalFormatting sqref="H36">
    <cfRule type="expression" dxfId="13516" priority="2286">
      <formula>$E36=""</formula>
    </cfRule>
  </conditionalFormatting>
  <conditionalFormatting sqref="H33:H37">
    <cfRule type="expression" dxfId="13515" priority="2285">
      <formula>$C33&lt;$E$3</formula>
    </cfRule>
  </conditionalFormatting>
  <conditionalFormatting sqref="H33:H37">
    <cfRule type="expression" dxfId="13514" priority="2281">
      <formula>$C33=$E$3</formula>
    </cfRule>
    <cfRule type="expression" dxfId="13513" priority="2282">
      <formula>$C33&lt;$E$3</formula>
    </cfRule>
    <cfRule type="cellIs" dxfId="13512" priority="2283" operator="equal">
      <formula>0</formula>
    </cfRule>
    <cfRule type="expression" dxfId="13511" priority="2284">
      <formula>$C33&gt;$E$3</formula>
    </cfRule>
  </conditionalFormatting>
  <conditionalFormatting sqref="H33:H37">
    <cfRule type="expression" dxfId="13510" priority="2280">
      <formula>$C33&lt;$E$3</formula>
    </cfRule>
  </conditionalFormatting>
  <conditionalFormatting sqref="H33:H37">
    <cfRule type="expression" dxfId="13509" priority="2276">
      <formula>$C33=$E$3</formula>
    </cfRule>
    <cfRule type="expression" dxfId="13508" priority="2277">
      <formula>$C33&lt;$E$3</formula>
    </cfRule>
    <cfRule type="cellIs" dxfId="13507" priority="2278" operator="equal">
      <formula>0</formula>
    </cfRule>
    <cfRule type="expression" dxfId="13506" priority="2279">
      <formula>$C33&gt;$E$3</formula>
    </cfRule>
  </conditionalFormatting>
  <conditionalFormatting sqref="H33:H37">
    <cfRule type="expression" dxfId="13505" priority="2275">
      <formula>$E33=""</formula>
    </cfRule>
  </conditionalFormatting>
  <conditionalFormatting sqref="H33:H37">
    <cfRule type="expression" dxfId="13504" priority="2274">
      <formula>$C33&lt;$E$3</formula>
    </cfRule>
  </conditionalFormatting>
  <conditionalFormatting sqref="H33:H37">
    <cfRule type="expression" dxfId="13503" priority="2273">
      <formula>$E33=""</formula>
    </cfRule>
  </conditionalFormatting>
  <conditionalFormatting sqref="H33:H37">
    <cfRule type="expression" dxfId="13502" priority="2272">
      <formula>$E33=""</formula>
    </cfRule>
  </conditionalFormatting>
  <conditionalFormatting sqref="H33:H37">
    <cfRule type="expression" dxfId="13501" priority="2271">
      <formula>$C33&lt;$E$3</formula>
    </cfRule>
  </conditionalFormatting>
  <conditionalFormatting sqref="H33:H37">
    <cfRule type="expression" dxfId="13500" priority="2270">
      <formula>$E33=""</formula>
    </cfRule>
  </conditionalFormatting>
  <conditionalFormatting sqref="H33:H37">
    <cfRule type="expression" dxfId="13499" priority="2269">
      <formula>$C33&lt;$E$3</formula>
    </cfRule>
  </conditionalFormatting>
  <conditionalFormatting sqref="H33:H37">
    <cfRule type="expression" dxfId="13498" priority="2268">
      <formula>$E33=""</formula>
    </cfRule>
  </conditionalFormatting>
  <conditionalFormatting sqref="H33:H37">
    <cfRule type="expression" dxfId="13497" priority="2267">
      <formula>$C33&lt;$E$3</formula>
    </cfRule>
  </conditionalFormatting>
  <conditionalFormatting sqref="H33:H37">
    <cfRule type="expression" dxfId="13496" priority="2266">
      <formula>$E33=""</formula>
    </cfRule>
  </conditionalFormatting>
  <conditionalFormatting sqref="K50:K51">
    <cfRule type="cellIs" dxfId="13495" priority="699" stopIfTrue="1" operator="lessThan">
      <formula>0</formula>
    </cfRule>
  </conditionalFormatting>
  <conditionalFormatting sqref="K50:K51">
    <cfRule type="cellIs" dxfId="13494" priority="698" stopIfTrue="1" operator="lessThan">
      <formula>0</formula>
    </cfRule>
  </conditionalFormatting>
  <conditionalFormatting sqref="K50:K51">
    <cfRule type="cellIs" dxfId="13493" priority="697" stopIfTrue="1" operator="lessThan">
      <formula>0</formula>
    </cfRule>
  </conditionalFormatting>
  <conditionalFormatting sqref="N5:N6 N9">
    <cfRule type="cellIs" dxfId="13492" priority="627" stopIfTrue="1" operator="lessThan">
      <formula>0</formula>
    </cfRule>
  </conditionalFormatting>
  <conditionalFormatting sqref="M14:M20 M32:M38 M41:M47 M23:M29">
    <cfRule type="expression" dxfId="13491" priority="589">
      <formula>$C14&lt;$E$3</formula>
    </cfRule>
  </conditionalFormatting>
  <conditionalFormatting sqref="M14:M20 M32:M38 M41:M47 M23:M29">
    <cfRule type="expression" dxfId="13490" priority="587">
      <formula>$C14&lt;$E$3</formula>
    </cfRule>
  </conditionalFormatting>
  <conditionalFormatting sqref="M14:M20 M32:M38 M41:M47 M23:M29">
    <cfRule type="expression" dxfId="13489" priority="559">
      <formula>$C14&lt;$E$3</formula>
    </cfRule>
  </conditionalFormatting>
  <conditionalFormatting sqref="K19">
    <cfRule type="expression" dxfId="13488" priority="519">
      <formula>$C19&lt;$E$3</formula>
    </cfRule>
  </conditionalFormatting>
  <conditionalFormatting sqref="K19">
    <cfRule type="expression" dxfId="13487" priority="517">
      <formula>$C19&lt;$E$3</formula>
    </cfRule>
  </conditionalFormatting>
  <conditionalFormatting sqref="K19">
    <cfRule type="expression" dxfId="13486" priority="489">
      <formula>$C19&lt;$E$3</formula>
    </cfRule>
  </conditionalFormatting>
  <conditionalFormatting sqref="K14:K18">
    <cfRule type="expression" dxfId="13485" priority="487">
      <formula>$C14&lt;$E$3</formula>
    </cfRule>
  </conditionalFormatting>
  <conditionalFormatting sqref="K14:K18">
    <cfRule type="expression" dxfId="13484" priority="459">
      <formula>$C14&lt;$E$3</formula>
    </cfRule>
  </conditionalFormatting>
  <conditionalFormatting sqref="K14:K18">
    <cfRule type="expression" dxfId="13483" priority="457">
      <formula>$C14&lt;$E$3</formula>
    </cfRule>
  </conditionalFormatting>
  <conditionalFormatting sqref="K14:K18">
    <cfRule type="expression" dxfId="13482" priority="429">
      <formula>$C14&lt;$E$3</formula>
    </cfRule>
  </conditionalFormatting>
  <conditionalFormatting sqref="K28">
    <cfRule type="expression" dxfId="13481" priority="382">
      <formula>$C28&lt;$E$3</formula>
    </cfRule>
  </conditionalFormatting>
  <conditionalFormatting sqref="K28">
    <cfRule type="expression" dxfId="13480" priority="380">
      <formula>$C28&lt;$E$3</formula>
    </cfRule>
  </conditionalFormatting>
  <conditionalFormatting sqref="K28">
    <cfRule type="expression" dxfId="13479" priority="352">
      <formula>$C28&lt;$E$3</formula>
    </cfRule>
  </conditionalFormatting>
  <conditionalFormatting sqref="K23:K27">
    <cfRule type="expression" dxfId="13478" priority="350">
      <formula>$C23&lt;$E$3</formula>
    </cfRule>
  </conditionalFormatting>
  <conditionalFormatting sqref="K23:K27">
    <cfRule type="expression" dxfId="13477" priority="322">
      <formula>$C23&lt;$E$3</formula>
    </cfRule>
  </conditionalFormatting>
  <conditionalFormatting sqref="K23:K27">
    <cfRule type="expression" dxfId="13476" priority="320">
      <formula>$C23&lt;$E$3</formula>
    </cfRule>
  </conditionalFormatting>
  <conditionalFormatting sqref="K23:K27">
    <cfRule type="expression" dxfId="13475" priority="292">
      <formula>$C23&lt;$E$3</formula>
    </cfRule>
  </conditionalFormatting>
  <conditionalFormatting sqref="K37">
    <cfRule type="expression" dxfId="13474" priority="245">
      <formula>$C37&lt;$E$3</formula>
    </cfRule>
  </conditionalFormatting>
  <conditionalFormatting sqref="K37">
    <cfRule type="expression" dxfId="13473" priority="243">
      <formula>$C37&lt;$E$3</formula>
    </cfRule>
  </conditionalFormatting>
  <conditionalFormatting sqref="K37">
    <cfRule type="expression" dxfId="13472" priority="215">
      <formula>$C37&lt;$E$3</formula>
    </cfRule>
  </conditionalFormatting>
  <conditionalFormatting sqref="K32:K36">
    <cfRule type="expression" dxfId="13471" priority="213">
      <formula>$C32&lt;$E$3</formula>
    </cfRule>
  </conditionalFormatting>
  <conditionalFormatting sqref="K32:K36">
    <cfRule type="expression" dxfId="13470" priority="185">
      <formula>$C32&lt;$E$3</formula>
    </cfRule>
  </conditionalFormatting>
  <conditionalFormatting sqref="K32:K36">
    <cfRule type="expression" dxfId="13469" priority="183">
      <formula>$C32&lt;$E$3</formula>
    </cfRule>
  </conditionalFormatting>
  <conditionalFormatting sqref="K32:K36">
    <cfRule type="expression" dxfId="13468" priority="155">
      <formula>$C32&lt;$E$3</formula>
    </cfRule>
  </conditionalFormatting>
  <conditionalFormatting sqref="K46">
    <cfRule type="expression" dxfId="13467" priority="108">
      <formula>$C46&lt;$E$3</formula>
    </cfRule>
  </conditionalFormatting>
  <conditionalFormatting sqref="K46">
    <cfRule type="expression" dxfId="13466" priority="106">
      <formula>$C46&lt;$E$3</formula>
    </cfRule>
  </conditionalFormatting>
  <conditionalFormatting sqref="K46">
    <cfRule type="expression" dxfId="13465" priority="78">
      <formula>$C46&lt;$E$3</formula>
    </cfRule>
  </conditionalFormatting>
  <conditionalFormatting sqref="K41:K45">
    <cfRule type="expression" dxfId="13464" priority="76">
      <formula>$C41&lt;$E$3</formula>
    </cfRule>
  </conditionalFormatting>
  <conditionalFormatting sqref="K41:K45">
    <cfRule type="expression" dxfId="13463" priority="48">
      <formula>$C41&lt;$E$3</formula>
    </cfRule>
  </conditionalFormatting>
  <conditionalFormatting sqref="K41:K45">
    <cfRule type="expression" dxfId="13462" priority="46">
      <formula>$C41&lt;$E$3</formula>
    </cfRule>
  </conditionalFormatting>
  <conditionalFormatting sqref="K41:K45">
    <cfRule type="expression" dxfId="13461" priority="18">
      <formula>$C41&lt;$E$3</formula>
    </cfRule>
  </conditionalFormatting>
  <conditionalFormatting sqref="N29">
    <cfRule type="cellIs" dxfId="13460" priority="4" stopIfTrue="1" operator="lessThan">
      <formula>0</formula>
    </cfRule>
  </conditionalFormatting>
  <conditionalFormatting sqref="N25">
    <cfRule type="cellIs" dxfId="13459" priority="3" stopIfTrue="1" operator="lessThan">
      <formula>0</formula>
    </cfRule>
  </conditionalFormatting>
  <conditionalFormatting sqref="N26">
    <cfRule type="cellIs" dxfId="13458" priority="2" stopIfTrue="1" operator="lessThan">
      <formula>0</formula>
    </cfRule>
  </conditionalFormatting>
  <conditionalFormatting sqref="N24">
    <cfRule type="cellIs" dxfId="13457" priority="1" stopIfTrue="1" operator="lessThan">
      <formula>0</formula>
    </cfRule>
  </conditionalFormatting>
  <conditionalFormatting sqref="K5:K11 K50:K51">
    <cfRule type="cellIs" dxfId="13456" priority="922" stopIfTrue="1" operator="lessThan">
      <formula>0</formula>
    </cfRule>
  </conditionalFormatting>
  <conditionalFormatting sqref="K5:K11 K50:K51">
    <cfRule type="expression" dxfId="13455" priority="920">
      <formula>$C5&lt;$E$3</formula>
    </cfRule>
  </conditionalFormatting>
  <conditionalFormatting sqref="K5:K11 K50:K51">
    <cfRule type="expression" dxfId="13454" priority="917">
      <formula>$C5=$E$3</formula>
    </cfRule>
    <cfRule type="expression" dxfId="13453" priority="918">
      <formula>$C5&lt;$E$3</formula>
    </cfRule>
    <cfRule type="cellIs" dxfId="13452" priority="919" operator="equal">
      <formula>0</formula>
    </cfRule>
    <cfRule type="expression" dxfId="13451" priority="921">
      <formula>$C5&gt;$E$3</formula>
    </cfRule>
  </conditionalFormatting>
  <conditionalFormatting sqref="K5:K11 K50:K51">
    <cfRule type="expression" dxfId="13450" priority="916">
      <formula>$E5=""</formula>
    </cfRule>
  </conditionalFormatting>
  <conditionalFormatting sqref="K5:K11 K50:K51">
    <cfRule type="expression" dxfId="13449" priority="915">
      <formula>$E5=""</formula>
    </cfRule>
  </conditionalFormatting>
  <conditionalFormatting sqref="K5:K11 K50:K51">
    <cfRule type="expression" dxfId="13448" priority="914">
      <formula>$E5=""</formula>
    </cfRule>
  </conditionalFormatting>
  <conditionalFormatting sqref="J5:J11 J50:J51 L5:M11 L50:N51">
    <cfRule type="cellIs" dxfId="13447" priority="913" stopIfTrue="1" operator="lessThan">
      <formula>0</formula>
    </cfRule>
  </conditionalFormatting>
  <conditionalFormatting sqref="J5:J11 J50:J51 L5:M11 L50:M51">
    <cfRule type="expression" dxfId="13446" priority="911">
      <formula>$C5&lt;$E$3</formula>
    </cfRule>
  </conditionalFormatting>
  <conditionalFormatting sqref="J5:J11 J50:J51 L5:M11 L50:M51">
    <cfRule type="expression" dxfId="13445" priority="908">
      <formula>$C5=$E$3</formula>
    </cfRule>
    <cfRule type="expression" dxfId="13444" priority="909">
      <formula>$C5&lt;$E$3</formula>
    </cfRule>
    <cfRule type="cellIs" dxfId="13443" priority="910" operator="equal">
      <formula>0</formula>
    </cfRule>
    <cfRule type="expression" dxfId="13442" priority="912">
      <formula>$C5&gt;$E$3</formula>
    </cfRule>
  </conditionalFormatting>
  <conditionalFormatting sqref="J5:J11 J50:J51 L5:M11 L50:M51">
    <cfRule type="expression" dxfId="13441" priority="907">
      <formula>$E5=""</formula>
    </cfRule>
  </conditionalFormatting>
  <conditionalFormatting sqref="J5:J11 J50:J51 L5:M11 L50:M51">
    <cfRule type="expression" dxfId="13440" priority="906">
      <formula>$E5=""</formula>
    </cfRule>
  </conditionalFormatting>
  <conditionalFormatting sqref="J5:J11 J50:J51 L5:M11 L50:M51">
    <cfRule type="expression" dxfId="13439" priority="905">
      <formula>$E5=""</formula>
    </cfRule>
  </conditionalFormatting>
  <conditionalFormatting sqref="M5:M11 M50:M51">
    <cfRule type="expression" dxfId="13438" priority="904">
      <formula>$C5&lt;$E$3</formula>
    </cfRule>
  </conditionalFormatting>
  <conditionalFormatting sqref="M5:M11 M50:M51">
    <cfRule type="expression" dxfId="13437" priority="900">
      <formula>$C5=$E$3</formula>
    </cfRule>
    <cfRule type="expression" dxfId="13436" priority="901">
      <formula>$C5&lt;$E$3</formula>
    </cfRule>
    <cfRule type="cellIs" dxfId="13435" priority="902" operator="equal">
      <formula>0</formula>
    </cfRule>
    <cfRule type="expression" dxfId="13434" priority="903">
      <formula>$C5&gt;$E$3</formula>
    </cfRule>
  </conditionalFormatting>
  <conditionalFormatting sqref="M5:M11 M50:M51">
    <cfRule type="expression" dxfId="13433" priority="899">
      <formula>$C5&lt;$E$3</formula>
    </cfRule>
  </conditionalFormatting>
  <conditionalFormatting sqref="M5:M11 M50:M51">
    <cfRule type="expression" dxfId="13432" priority="895">
      <formula>$C5=$E$3</formula>
    </cfRule>
    <cfRule type="expression" dxfId="13431" priority="896">
      <formula>$C5&lt;$E$3</formula>
    </cfRule>
    <cfRule type="cellIs" dxfId="13430" priority="897" operator="equal">
      <formula>0</formula>
    </cfRule>
    <cfRule type="expression" dxfId="13429" priority="898">
      <formula>$C5&gt;$E$3</formula>
    </cfRule>
  </conditionalFormatting>
  <conditionalFormatting sqref="M5:M11 M50:M51">
    <cfRule type="expression" dxfId="13428" priority="894">
      <formula>$C5&lt;$E$3</formula>
    </cfRule>
  </conditionalFormatting>
  <conditionalFormatting sqref="M5:M11 M50:M51">
    <cfRule type="expression" dxfId="13427" priority="890">
      <formula>$C5=$E$3</formula>
    </cfRule>
    <cfRule type="expression" dxfId="13426" priority="891">
      <formula>$C5&lt;$E$3</formula>
    </cfRule>
    <cfRule type="cellIs" dxfId="13425" priority="892" operator="equal">
      <formula>0</formula>
    </cfRule>
    <cfRule type="expression" dxfId="13424" priority="893">
      <formula>$C5&gt;$E$3</formula>
    </cfRule>
  </conditionalFormatting>
  <conditionalFormatting sqref="M5:M11 M50:M51">
    <cfRule type="expression" dxfId="13423" priority="889">
      <formula>$C5&lt;$E$3</formula>
    </cfRule>
  </conditionalFormatting>
  <conditionalFormatting sqref="M5:M11 M50:M51">
    <cfRule type="expression" dxfId="13422" priority="885">
      <formula>$C5=$E$3</formula>
    </cfRule>
    <cfRule type="expression" dxfId="13421" priority="886">
      <formula>$C5&lt;$E$3</formula>
    </cfRule>
    <cfRule type="cellIs" dxfId="13420" priority="887" operator="equal">
      <formula>0</formula>
    </cfRule>
    <cfRule type="expression" dxfId="13419" priority="888">
      <formula>$C5&gt;$E$3</formula>
    </cfRule>
  </conditionalFormatting>
  <conditionalFormatting sqref="M5:M11 M50:M51">
    <cfRule type="expression" dxfId="13418" priority="884">
      <formula>$E5=""</formula>
    </cfRule>
  </conditionalFormatting>
  <conditionalFormatting sqref="M5:M11 M50:M51">
    <cfRule type="expression" dxfId="13417" priority="883">
      <formula>$C5&lt;$E$3</formula>
    </cfRule>
  </conditionalFormatting>
  <conditionalFormatting sqref="M5:M11 M50:M51">
    <cfRule type="expression" dxfId="13416" priority="882">
      <formula>$E5=""</formula>
    </cfRule>
  </conditionalFormatting>
  <conditionalFormatting sqref="M5:M11 M50:M51">
    <cfRule type="expression" dxfId="13415" priority="881">
      <formula>$E5=""</formula>
    </cfRule>
  </conditionalFormatting>
  <conditionalFormatting sqref="M5:M11 M50:M51">
    <cfRule type="expression" dxfId="13414" priority="880">
      <formula>$C5&lt;$E$3</formula>
    </cfRule>
  </conditionalFormatting>
  <conditionalFormatting sqref="M5:M11 M50:M51">
    <cfRule type="expression" dxfId="13413" priority="879">
      <formula>$E5=""</formula>
    </cfRule>
  </conditionalFormatting>
  <conditionalFormatting sqref="M5:M11 M50:M51">
    <cfRule type="expression" dxfId="13412" priority="878">
      <formula>$C5&lt;$E$3</formula>
    </cfRule>
  </conditionalFormatting>
  <conditionalFormatting sqref="M5:M11 M50:M51">
    <cfRule type="expression" dxfId="13411" priority="877">
      <formula>$E5=""</formula>
    </cfRule>
  </conditionalFormatting>
  <conditionalFormatting sqref="M5:M11 M50:M51">
    <cfRule type="expression" dxfId="13410" priority="876">
      <formula>$C5&lt;$E$3</formula>
    </cfRule>
  </conditionalFormatting>
  <conditionalFormatting sqref="M5:M11 M50:M51">
    <cfRule type="expression" dxfId="13409" priority="875">
      <formula>$E5=""</formula>
    </cfRule>
  </conditionalFormatting>
  <conditionalFormatting sqref="M5:M11 M50:M51">
    <cfRule type="expression" dxfId="13408" priority="874">
      <formula>$C5&lt;$E$3</formula>
    </cfRule>
  </conditionalFormatting>
  <conditionalFormatting sqref="M5:M11 M50:M51">
    <cfRule type="expression" dxfId="13407" priority="870">
      <formula>$C5=$E$3</formula>
    </cfRule>
    <cfRule type="expression" dxfId="13406" priority="871">
      <formula>$C5&lt;$E$3</formula>
    </cfRule>
    <cfRule type="cellIs" dxfId="13405" priority="872" operator="equal">
      <formula>0</formula>
    </cfRule>
    <cfRule type="expression" dxfId="13404" priority="873">
      <formula>$C5&gt;$E$3</formula>
    </cfRule>
  </conditionalFormatting>
  <conditionalFormatting sqref="M5:M11 M50:M51">
    <cfRule type="expression" dxfId="13403" priority="869">
      <formula>$C5&lt;$E$3</formula>
    </cfRule>
  </conditionalFormatting>
  <conditionalFormatting sqref="M5:M11 M50:M51">
    <cfRule type="expression" dxfId="13402" priority="865">
      <formula>$C5=$E$3</formula>
    </cfRule>
    <cfRule type="expression" dxfId="13401" priority="866">
      <formula>$C5&lt;$E$3</formula>
    </cfRule>
    <cfRule type="cellIs" dxfId="13400" priority="867" operator="equal">
      <formula>0</formula>
    </cfRule>
    <cfRule type="expression" dxfId="13399" priority="868">
      <formula>$C5&gt;$E$3</formula>
    </cfRule>
  </conditionalFormatting>
  <conditionalFormatting sqref="M5:M11 M50:M51">
    <cfRule type="expression" dxfId="13398" priority="864">
      <formula>$C5&lt;$E$3</formula>
    </cfRule>
  </conditionalFormatting>
  <conditionalFormatting sqref="M5:M11 M50:M51">
    <cfRule type="expression" dxfId="13397" priority="860">
      <formula>$C5=$E$3</formula>
    </cfRule>
    <cfRule type="expression" dxfId="13396" priority="861">
      <formula>$C5&lt;$E$3</formula>
    </cfRule>
    <cfRule type="cellIs" dxfId="13395" priority="862" operator="equal">
      <formula>0</formula>
    </cfRule>
    <cfRule type="expression" dxfId="13394" priority="863">
      <formula>$C5&gt;$E$3</formula>
    </cfRule>
  </conditionalFormatting>
  <conditionalFormatting sqref="M5:M11 M50:M51">
    <cfRule type="expression" dxfId="13393" priority="859">
      <formula>$C5&lt;$E$3</formula>
    </cfRule>
  </conditionalFormatting>
  <conditionalFormatting sqref="M5:M11 M50:M51">
    <cfRule type="expression" dxfId="13392" priority="855">
      <formula>$C5=$E$3</formula>
    </cfRule>
    <cfRule type="expression" dxfId="13391" priority="856">
      <formula>$C5&lt;$E$3</formula>
    </cfRule>
    <cfRule type="cellIs" dxfId="13390" priority="857" operator="equal">
      <formula>0</formula>
    </cfRule>
    <cfRule type="expression" dxfId="13389" priority="858">
      <formula>$C5&gt;$E$3</formula>
    </cfRule>
  </conditionalFormatting>
  <conditionalFormatting sqref="M5:M11 M50:M51">
    <cfRule type="expression" dxfId="13388" priority="854">
      <formula>$E5=""</formula>
    </cfRule>
  </conditionalFormatting>
  <conditionalFormatting sqref="M5:M11 M50:M51">
    <cfRule type="expression" dxfId="13387" priority="853">
      <formula>$C5&lt;$E$3</formula>
    </cfRule>
  </conditionalFormatting>
  <conditionalFormatting sqref="M5:M11 M50:M51">
    <cfRule type="expression" dxfId="13386" priority="852">
      <formula>$E5=""</formula>
    </cfRule>
  </conditionalFormatting>
  <conditionalFormatting sqref="M5:M11 M50:M51">
    <cfRule type="expression" dxfId="13385" priority="851">
      <formula>$E5=""</formula>
    </cfRule>
  </conditionalFormatting>
  <conditionalFormatting sqref="M5:M11 M50:M51">
    <cfRule type="expression" dxfId="13384" priority="850">
      <formula>$C5&lt;$E$3</formula>
    </cfRule>
  </conditionalFormatting>
  <conditionalFormatting sqref="M5:M11 M50:M51">
    <cfRule type="expression" dxfId="13383" priority="849">
      <formula>$E5=""</formula>
    </cfRule>
  </conditionalFormatting>
  <conditionalFormatting sqref="M5:M11 M50:M51">
    <cfRule type="expression" dxfId="13382" priority="848">
      <formula>$C5&lt;$E$3</formula>
    </cfRule>
  </conditionalFormatting>
  <conditionalFormatting sqref="M5:M11 M50:M51">
    <cfRule type="expression" dxfId="13381" priority="847">
      <formula>$E5=""</formula>
    </cfRule>
  </conditionalFormatting>
  <conditionalFormatting sqref="M5:M11 M50:M51">
    <cfRule type="expression" dxfId="13380" priority="846">
      <formula>$C5&lt;$E$3</formula>
    </cfRule>
  </conditionalFormatting>
  <conditionalFormatting sqref="M5:M11 M50:M51">
    <cfRule type="expression" dxfId="13379" priority="845">
      <formula>$E5=""</formula>
    </cfRule>
  </conditionalFormatting>
  <conditionalFormatting sqref="K10">
    <cfRule type="expression" dxfId="13378" priority="844">
      <formula>$C10&lt;$E$3</formula>
    </cfRule>
  </conditionalFormatting>
  <conditionalFormatting sqref="K10">
    <cfRule type="expression" dxfId="13377" priority="840">
      <formula>$C10=$E$3</formula>
    </cfRule>
    <cfRule type="expression" dxfId="13376" priority="841">
      <formula>$C10&lt;$E$3</formula>
    </cfRule>
    <cfRule type="cellIs" dxfId="13375" priority="842" operator="equal">
      <formula>0</formula>
    </cfRule>
    <cfRule type="expression" dxfId="13374" priority="843">
      <formula>$C10&gt;$E$3</formula>
    </cfRule>
  </conditionalFormatting>
  <conditionalFormatting sqref="K10">
    <cfRule type="expression" dxfId="13373" priority="839">
      <formula>$C10&lt;$E$3</formula>
    </cfRule>
  </conditionalFormatting>
  <conditionalFormatting sqref="K10">
    <cfRule type="expression" dxfId="13372" priority="835">
      <formula>$C10=$E$3</formula>
    </cfRule>
    <cfRule type="expression" dxfId="13371" priority="836">
      <formula>$C10&lt;$E$3</formula>
    </cfRule>
    <cfRule type="cellIs" dxfId="13370" priority="837" operator="equal">
      <formula>0</formula>
    </cfRule>
    <cfRule type="expression" dxfId="13369" priority="838">
      <formula>$C10&gt;$E$3</formula>
    </cfRule>
  </conditionalFormatting>
  <conditionalFormatting sqref="K10">
    <cfRule type="expression" dxfId="13368" priority="834">
      <formula>$C10&lt;$E$3</formula>
    </cfRule>
  </conditionalFormatting>
  <conditionalFormatting sqref="K10">
    <cfRule type="expression" dxfId="13367" priority="830">
      <formula>$C10=$E$3</formula>
    </cfRule>
    <cfRule type="expression" dxfId="13366" priority="831">
      <formula>$C10&lt;$E$3</formula>
    </cfRule>
    <cfRule type="cellIs" dxfId="13365" priority="832" operator="equal">
      <formula>0</formula>
    </cfRule>
    <cfRule type="expression" dxfId="13364" priority="833">
      <formula>$C10&gt;$E$3</formula>
    </cfRule>
  </conditionalFormatting>
  <conditionalFormatting sqref="K10">
    <cfRule type="expression" dxfId="13363" priority="829">
      <formula>$C10&lt;$E$3</formula>
    </cfRule>
  </conditionalFormatting>
  <conditionalFormatting sqref="K10">
    <cfRule type="expression" dxfId="13362" priority="825">
      <formula>$C10=$E$3</formula>
    </cfRule>
    <cfRule type="expression" dxfId="13361" priority="826">
      <formula>$C10&lt;$E$3</formula>
    </cfRule>
    <cfRule type="cellIs" dxfId="13360" priority="827" operator="equal">
      <formula>0</formula>
    </cfRule>
    <cfRule type="expression" dxfId="13359" priority="828">
      <formula>$C10&gt;$E$3</formula>
    </cfRule>
  </conditionalFormatting>
  <conditionalFormatting sqref="K10">
    <cfRule type="expression" dxfId="13358" priority="824">
      <formula>$E10=""</formula>
    </cfRule>
  </conditionalFormatting>
  <conditionalFormatting sqref="K10">
    <cfRule type="expression" dxfId="13357" priority="823">
      <formula>$C10&lt;$E$3</formula>
    </cfRule>
  </conditionalFormatting>
  <conditionalFormatting sqref="K10">
    <cfRule type="expression" dxfId="13356" priority="822">
      <formula>$E10=""</formula>
    </cfRule>
  </conditionalFormatting>
  <conditionalFormatting sqref="K10">
    <cfRule type="expression" dxfId="13355" priority="821">
      <formula>$E10=""</formula>
    </cfRule>
  </conditionalFormatting>
  <conditionalFormatting sqref="K10">
    <cfRule type="expression" dxfId="13354" priority="820">
      <formula>$C10&lt;$E$3</formula>
    </cfRule>
  </conditionalFormatting>
  <conditionalFormatting sqref="K10">
    <cfRule type="expression" dxfId="13353" priority="819">
      <formula>$E10=""</formula>
    </cfRule>
  </conditionalFormatting>
  <conditionalFormatting sqref="K10">
    <cfRule type="expression" dxfId="13352" priority="818">
      <formula>$C10&lt;$E$3</formula>
    </cfRule>
  </conditionalFormatting>
  <conditionalFormatting sqref="K10">
    <cfRule type="expression" dxfId="13351" priority="817">
      <formula>$E10=""</formula>
    </cfRule>
  </conditionalFormatting>
  <conditionalFormatting sqref="K10">
    <cfRule type="expression" dxfId="13350" priority="816">
      <formula>$C10&lt;$E$3</formula>
    </cfRule>
  </conditionalFormatting>
  <conditionalFormatting sqref="K10">
    <cfRule type="expression" dxfId="13349" priority="815">
      <formula>$E10=""</formula>
    </cfRule>
  </conditionalFormatting>
  <conditionalFormatting sqref="K10">
    <cfRule type="expression" dxfId="13348" priority="814">
      <formula>$C10&lt;$E$3</formula>
    </cfRule>
  </conditionalFormatting>
  <conditionalFormatting sqref="K10">
    <cfRule type="expression" dxfId="13347" priority="810">
      <formula>$C10=$E$3</formula>
    </cfRule>
    <cfRule type="expression" dxfId="13346" priority="811">
      <formula>$C10&lt;$E$3</formula>
    </cfRule>
    <cfRule type="cellIs" dxfId="13345" priority="812" operator="equal">
      <formula>0</formula>
    </cfRule>
    <cfRule type="expression" dxfId="13344" priority="813">
      <formula>$C10&gt;$E$3</formula>
    </cfRule>
  </conditionalFormatting>
  <conditionalFormatting sqref="K10">
    <cfRule type="expression" dxfId="13343" priority="809">
      <formula>$C10&lt;$E$3</formula>
    </cfRule>
  </conditionalFormatting>
  <conditionalFormatting sqref="K10">
    <cfRule type="expression" dxfId="13342" priority="805">
      <formula>$C10=$E$3</formula>
    </cfRule>
    <cfRule type="expression" dxfId="13341" priority="806">
      <formula>$C10&lt;$E$3</formula>
    </cfRule>
    <cfRule type="cellIs" dxfId="13340" priority="807" operator="equal">
      <formula>0</formula>
    </cfRule>
    <cfRule type="expression" dxfId="13339" priority="808">
      <formula>$C10&gt;$E$3</formula>
    </cfRule>
  </conditionalFormatting>
  <conditionalFormatting sqref="K10">
    <cfRule type="expression" dxfId="13338" priority="804">
      <formula>$C10&lt;$E$3</formula>
    </cfRule>
  </conditionalFormatting>
  <conditionalFormatting sqref="K10">
    <cfRule type="expression" dxfId="13337" priority="800">
      <formula>$C10=$E$3</formula>
    </cfRule>
    <cfRule type="expression" dxfId="13336" priority="801">
      <formula>$C10&lt;$E$3</formula>
    </cfRule>
    <cfRule type="cellIs" dxfId="13335" priority="802" operator="equal">
      <formula>0</formula>
    </cfRule>
    <cfRule type="expression" dxfId="13334" priority="803">
      <formula>$C10&gt;$E$3</formula>
    </cfRule>
  </conditionalFormatting>
  <conditionalFormatting sqref="K10">
    <cfRule type="expression" dxfId="13333" priority="799">
      <formula>$C10&lt;$E$3</formula>
    </cfRule>
  </conditionalFormatting>
  <conditionalFormatting sqref="K10">
    <cfRule type="expression" dxfId="13332" priority="795">
      <formula>$C10=$E$3</formula>
    </cfRule>
    <cfRule type="expression" dxfId="13331" priority="796">
      <formula>$C10&lt;$E$3</formula>
    </cfRule>
    <cfRule type="cellIs" dxfId="13330" priority="797" operator="equal">
      <formula>0</formula>
    </cfRule>
    <cfRule type="expression" dxfId="13329" priority="798">
      <formula>$C10&gt;$E$3</formula>
    </cfRule>
  </conditionalFormatting>
  <conditionalFormatting sqref="K10">
    <cfRule type="expression" dxfId="13328" priority="794">
      <formula>$E10=""</formula>
    </cfRule>
  </conditionalFormatting>
  <conditionalFormatting sqref="K10">
    <cfRule type="expression" dxfId="13327" priority="793">
      <formula>$C10&lt;$E$3</formula>
    </cfRule>
  </conditionalFormatting>
  <conditionalFormatting sqref="K10">
    <cfRule type="expression" dxfId="13326" priority="792">
      <formula>$E10=""</formula>
    </cfRule>
  </conditionalFormatting>
  <conditionalFormatting sqref="K10">
    <cfRule type="expression" dxfId="13325" priority="791">
      <formula>$E10=""</formula>
    </cfRule>
  </conditionalFormatting>
  <conditionalFormatting sqref="K10">
    <cfRule type="expression" dxfId="13324" priority="790">
      <formula>$C10&lt;$E$3</formula>
    </cfRule>
  </conditionalFormatting>
  <conditionalFormatting sqref="K10">
    <cfRule type="expression" dxfId="13323" priority="789">
      <formula>$E10=""</formula>
    </cfRule>
  </conditionalFormatting>
  <conditionalFormatting sqref="K10">
    <cfRule type="expression" dxfId="13322" priority="788">
      <formula>$C10&lt;$E$3</formula>
    </cfRule>
  </conditionalFormatting>
  <conditionalFormatting sqref="K10">
    <cfRule type="expression" dxfId="13321" priority="787">
      <formula>$E10=""</formula>
    </cfRule>
  </conditionalFormatting>
  <conditionalFormatting sqref="K10">
    <cfRule type="expression" dxfId="13320" priority="786">
      <formula>$C10&lt;$E$3</formula>
    </cfRule>
  </conditionalFormatting>
  <conditionalFormatting sqref="K10">
    <cfRule type="expression" dxfId="13319" priority="785">
      <formula>$E10=""</formula>
    </cfRule>
  </conditionalFormatting>
  <conditionalFormatting sqref="K5:K9">
    <cfRule type="expression" dxfId="13318" priority="784">
      <formula>$C5&lt;$E$3</formula>
    </cfRule>
  </conditionalFormatting>
  <conditionalFormatting sqref="K5:K9">
    <cfRule type="expression" dxfId="13317" priority="780">
      <formula>$C5=$E$3</formula>
    </cfRule>
    <cfRule type="expression" dxfId="13316" priority="781">
      <formula>$C5&lt;$E$3</formula>
    </cfRule>
    <cfRule type="cellIs" dxfId="13315" priority="782" operator="equal">
      <formula>0</formula>
    </cfRule>
    <cfRule type="expression" dxfId="13314" priority="783">
      <formula>$C5&gt;$E$3</formula>
    </cfRule>
  </conditionalFormatting>
  <conditionalFormatting sqref="K5:K9">
    <cfRule type="expression" dxfId="13313" priority="779">
      <formula>$C5&lt;$E$3</formula>
    </cfRule>
  </conditionalFormatting>
  <conditionalFormatting sqref="K5:K9">
    <cfRule type="expression" dxfId="13312" priority="775">
      <formula>$C5=$E$3</formula>
    </cfRule>
    <cfRule type="expression" dxfId="13311" priority="776">
      <formula>$C5&lt;$E$3</formula>
    </cfRule>
    <cfRule type="cellIs" dxfId="13310" priority="777" operator="equal">
      <formula>0</formula>
    </cfRule>
    <cfRule type="expression" dxfId="13309" priority="778">
      <formula>$C5&gt;$E$3</formula>
    </cfRule>
  </conditionalFormatting>
  <conditionalFormatting sqref="K5:K9">
    <cfRule type="expression" dxfId="13308" priority="774">
      <formula>$C5&lt;$E$3</formula>
    </cfRule>
  </conditionalFormatting>
  <conditionalFormatting sqref="K5:K9">
    <cfRule type="expression" dxfId="13307" priority="770">
      <formula>$C5=$E$3</formula>
    </cfRule>
    <cfRule type="expression" dxfId="13306" priority="771">
      <formula>$C5&lt;$E$3</formula>
    </cfRule>
    <cfRule type="cellIs" dxfId="13305" priority="772" operator="equal">
      <formula>0</formula>
    </cfRule>
    <cfRule type="expression" dxfId="13304" priority="773">
      <formula>$C5&gt;$E$3</formula>
    </cfRule>
  </conditionalFormatting>
  <conditionalFormatting sqref="K5:K9">
    <cfRule type="expression" dxfId="13303" priority="769">
      <formula>$C5&lt;$E$3</formula>
    </cfRule>
  </conditionalFormatting>
  <conditionalFormatting sqref="K5:K9">
    <cfRule type="expression" dxfId="13302" priority="765">
      <formula>$C5=$E$3</formula>
    </cfRule>
    <cfRule type="expression" dxfId="13301" priority="766">
      <formula>$C5&lt;$E$3</formula>
    </cfRule>
    <cfRule type="cellIs" dxfId="13300" priority="767" operator="equal">
      <formula>0</formula>
    </cfRule>
    <cfRule type="expression" dxfId="13299" priority="768">
      <formula>$C5&gt;$E$3</formula>
    </cfRule>
  </conditionalFormatting>
  <conditionalFormatting sqref="K5:K9">
    <cfRule type="expression" dxfId="13298" priority="764">
      <formula>$E5=""</formula>
    </cfRule>
  </conditionalFormatting>
  <conditionalFormatting sqref="K5:K9">
    <cfRule type="expression" dxfId="13297" priority="763">
      <formula>$C5&lt;$E$3</formula>
    </cfRule>
  </conditionalFormatting>
  <conditionalFormatting sqref="K5:K9">
    <cfRule type="expression" dxfId="13296" priority="762">
      <formula>$E5=""</formula>
    </cfRule>
  </conditionalFormatting>
  <conditionalFormatting sqref="K5:K9">
    <cfRule type="expression" dxfId="13295" priority="761">
      <formula>$E5=""</formula>
    </cfRule>
  </conditionalFormatting>
  <conditionalFormatting sqref="K5:K9">
    <cfRule type="expression" dxfId="13294" priority="760">
      <formula>$C5&lt;$E$3</formula>
    </cfRule>
  </conditionalFormatting>
  <conditionalFormatting sqref="K5:K9">
    <cfRule type="expression" dxfId="13293" priority="759">
      <formula>$E5=""</formula>
    </cfRule>
  </conditionalFormatting>
  <conditionalFormatting sqref="K5:K9">
    <cfRule type="expression" dxfId="13292" priority="758">
      <formula>$C5&lt;$E$3</formula>
    </cfRule>
  </conditionalFormatting>
  <conditionalFormatting sqref="K5:K9">
    <cfRule type="expression" dxfId="13291" priority="757">
      <formula>$E5=""</formula>
    </cfRule>
  </conditionalFormatting>
  <conditionalFormatting sqref="K5:K9">
    <cfRule type="expression" dxfId="13290" priority="756">
      <formula>$C5&lt;$E$3</formula>
    </cfRule>
  </conditionalFormatting>
  <conditionalFormatting sqref="K5:K9">
    <cfRule type="expression" dxfId="13289" priority="755">
      <formula>$E5=""</formula>
    </cfRule>
  </conditionalFormatting>
  <conditionalFormatting sqref="K5:K9">
    <cfRule type="expression" dxfId="13288" priority="754">
      <formula>$C5&lt;$E$3</formula>
    </cfRule>
  </conditionalFormatting>
  <conditionalFormatting sqref="K5:K9">
    <cfRule type="expression" dxfId="13287" priority="750">
      <formula>$C5=$E$3</formula>
    </cfRule>
    <cfRule type="expression" dxfId="13286" priority="751">
      <formula>$C5&lt;$E$3</formula>
    </cfRule>
    <cfRule type="cellIs" dxfId="13285" priority="752" operator="equal">
      <formula>0</formula>
    </cfRule>
    <cfRule type="expression" dxfId="13284" priority="753">
      <formula>$C5&gt;$E$3</formula>
    </cfRule>
  </conditionalFormatting>
  <conditionalFormatting sqref="K5:K9">
    <cfRule type="expression" dxfId="13283" priority="749">
      <formula>$C5&lt;$E$3</formula>
    </cfRule>
  </conditionalFormatting>
  <conditionalFormatting sqref="K5:K9">
    <cfRule type="expression" dxfId="13282" priority="745">
      <formula>$C5=$E$3</formula>
    </cfRule>
    <cfRule type="expression" dxfId="13281" priority="746">
      <formula>$C5&lt;$E$3</formula>
    </cfRule>
    <cfRule type="cellIs" dxfId="13280" priority="747" operator="equal">
      <formula>0</formula>
    </cfRule>
    <cfRule type="expression" dxfId="13279" priority="748">
      <formula>$C5&gt;$E$3</formula>
    </cfRule>
  </conditionalFormatting>
  <conditionalFormatting sqref="K5:K9">
    <cfRule type="expression" dxfId="13278" priority="744">
      <formula>$C5&lt;$E$3</formula>
    </cfRule>
  </conditionalFormatting>
  <conditionalFormatting sqref="K5:K9">
    <cfRule type="expression" dxfId="13277" priority="740">
      <formula>$C5=$E$3</formula>
    </cfRule>
    <cfRule type="expression" dxfId="13276" priority="741">
      <formula>$C5&lt;$E$3</formula>
    </cfRule>
    <cfRule type="cellIs" dxfId="13275" priority="742" operator="equal">
      <formula>0</formula>
    </cfRule>
    <cfRule type="expression" dxfId="13274" priority="743">
      <formula>$C5&gt;$E$3</formula>
    </cfRule>
  </conditionalFormatting>
  <conditionalFormatting sqref="K5:K9">
    <cfRule type="expression" dxfId="13273" priority="739">
      <formula>$C5&lt;$E$3</formula>
    </cfRule>
  </conditionalFormatting>
  <conditionalFormatting sqref="K5:K9">
    <cfRule type="expression" dxfId="13272" priority="735">
      <formula>$C5=$E$3</formula>
    </cfRule>
    <cfRule type="expression" dxfId="13271" priority="736">
      <formula>$C5&lt;$E$3</formula>
    </cfRule>
    <cfRule type="cellIs" dxfId="13270" priority="737" operator="equal">
      <formula>0</formula>
    </cfRule>
    <cfRule type="expression" dxfId="13269" priority="738">
      <formula>$C5&gt;$E$3</formula>
    </cfRule>
  </conditionalFormatting>
  <conditionalFormatting sqref="K5:K9">
    <cfRule type="expression" dxfId="13268" priority="734">
      <formula>$E5=""</formula>
    </cfRule>
  </conditionalFormatting>
  <conditionalFormatting sqref="K5:K9">
    <cfRule type="expression" dxfId="13267" priority="733">
      <formula>$C5&lt;$E$3</formula>
    </cfRule>
  </conditionalFormatting>
  <conditionalFormatting sqref="K5:K9">
    <cfRule type="expression" dxfId="13266" priority="732">
      <formula>$E5=""</formula>
    </cfRule>
  </conditionalFormatting>
  <conditionalFormatting sqref="K5:K9">
    <cfRule type="expression" dxfId="13265" priority="731">
      <formula>$E5=""</formula>
    </cfRule>
  </conditionalFormatting>
  <conditionalFormatting sqref="K5:K9">
    <cfRule type="expression" dxfId="13264" priority="730">
      <formula>$C5&lt;$E$3</formula>
    </cfRule>
  </conditionalFormatting>
  <conditionalFormatting sqref="K5:K9">
    <cfRule type="expression" dxfId="13263" priority="729">
      <formula>$E5=""</formula>
    </cfRule>
  </conditionalFormatting>
  <conditionalFormatting sqref="K5:K9">
    <cfRule type="expression" dxfId="13262" priority="728">
      <formula>$C5&lt;$E$3</formula>
    </cfRule>
  </conditionalFormatting>
  <conditionalFormatting sqref="K5:K9">
    <cfRule type="expression" dxfId="13261" priority="727">
      <formula>$E5=""</formula>
    </cfRule>
  </conditionalFormatting>
  <conditionalFormatting sqref="K5:K9">
    <cfRule type="expression" dxfId="13260" priority="726">
      <formula>$C5&lt;$E$3</formula>
    </cfRule>
  </conditionalFormatting>
  <conditionalFormatting sqref="K5:K9">
    <cfRule type="expression" dxfId="13259" priority="725">
      <formula>$E5=""</formula>
    </cfRule>
  </conditionalFormatting>
  <conditionalFormatting sqref="K5:K11">
    <cfRule type="expression" dxfId="13258" priority="723">
      <formula>$C5&lt;$E$3</formula>
    </cfRule>
  </conditionalFormatting>
  <conditionalFormatting sqref="K5:K11">
    <cfRule type="expression" dxfId="13257" priority="720">
      <formula>$C5=$E$3</formula>
    </cfRule>
    <cfRule type="expression" dxfId="13256" priority="721">
      <formula>$C5&lt;$E$3</formula>
    </cfRule>
    <cfRule type="cellIs" dxfId="13255" priority="722" operator="equal">
      <formula>0</formula>
    </cfRule>
    <cfRule type="expression" dxfId="13254" priority="724">
      <formula>$C5&gt;$E$3</formula>
    </cfRule>
  </conditionalFormatting>
  <conditionalFormatting sqref="K5:K11">
    <cfRule type="expression" dxfId="13253" priority="719">
      <formula>$E5=""</formula>
    </cfRule>
  </conditionalFormatting>
  <conditionalFormatting sqref="K5:K11">
    <cfRule type="expression" dxfId="13252" priority="718">
      <formula>$E5=""</formula>
    </cfRule>
  </conditionalFormatting>
  <conditionalFormatting sqref="K5:K11">
    <cfRule type="expression" dxfId="13251" priority="717">
      <formula>$E5=""</formula>
    </cfRule>
  </conditionalFormatting>
  <conditionalFormatting sqref="K50:K51">
    <cfRule type="expression" dxfId="13250" priority="715">
      <formula>$C50&lt;$E$3</formula>
    </cfRule>
  </conditionalFormatting>
  <conditionalFormatting sqref="K50:K51">
    <cfRule type="expression" dxfId="13249" priority="712">
      <formula>$C50=$E$3</formula>
    </cfRule>
    <cfRule type="expression" dxfId="13248" priority="713">
      <formula>$C50&lt;$E$3</formula>
    </cfRule>
    <cfRule type="cellIs" dxfId="13247" priority="714" operator="equal">
      <formula>0</formula>
    </cfRule>
    <cfRule type="expression" dxfId="13246" priority="716">
      <formula>$C50&gt;$E$3</formula>
    </cfRule>
  </conditionalFormatting>
  <conditionalFormatting sqref="K50:K51">
    <cfRule type="expression" dxfId="13245" priority="711">
      <formula>$E50=""</formula>
    </cfRule>
  </conditionalFormatting>
  <conditionalFormatting sqref="K50:K51">
    <cfRule type="expression" dxfId="13244" priority="710">
      <formula>$E50=""</formula>
    </cfRule>
  </conditionalFormatting>
  <conditionalFormatting sqref="K50:K51">
    <cfRule type="expression" dxfId="13243" priority="709">
      <formula>$E50=""</formula>
    </cfRule>
  </conditionalFormatting>
  <conditionalFormatting sqref="K50:K51">
    <cfRule type="cellIs" dxfId="13242" priority="708" stopIfTrue="1" operator="lessThan">
      <formula>0</formula>
    </cfRule>
  </conditionalFormatting>
  <conditionalFormatting sqref="K50:K51">
    <cfRule type="expression" dxfId="13241" priority="706">
      <formula>$C50&lt;$E$3</formula>
    </cfRule>
  </conditionalFormatting>
  <conditionalFormatting sqref="K50:K51">
    <cfRule type="expression" dxfId="13240" priority="703">
      <formula>$C50=$E$3</formula>
    </cfRule>
    <cfRule type="expression" dxfId="13239" priority="704">
      <formula>$C50&lt;$E$3</formula>
    </cfRule>
    <cfRule type="cellIs" dxfId="13238" priority="705" operator="equal">
      <formula>0</formula>
    </cfRule>
    <cfRule type="expression" dxfId="13237" priority="707">
      <formula>$C50&gt;$E$3</formula>
    </cfRule>
  </conditionalFormatting>
  <conditionalFormatting sqref="K50:K51">
    <cfRule type="expression" dxfId="13236" priority="702">
      <formula>$E50=""</formula>
    </cfRule>
  </conditionalFormatting>
  <conditionalFormatting sqref="K50:K51">
    <cfRule type="expression" dxfId="13235" priority="701">
      <formula>$E50=""</formula>
    </cfRule>
  </conditionalFormatting>
  <conditionalFormatting sqref="K50:K51">
    <cfRule type="expression" dxfId="13234" priority="700">
      <formula>$E50=""</formula>
    </cfRule>
  </conditionalFormatting>
  <conditionalFormatting sqref="K50:K51">
    <cfRule type="cellIs" dxfId="13233" priority="696" stopIfTrue="1" operator="lessThan">
      <formula>0</formula>
    </cfRule>
  </conditionalFormatting>
  <conditionalFormatting sqref="K50:K51">
    <cfRule type="expression" dxfId="13232" priority="695">
      <formula>$C50&lt;$E$3</formula>
    </cfRule>
  </conditionalFormatting>
  <conditionalFormatting sqref="K50:K51">
    <cfRule type="expression" dxfId="13231" priority="691">
      <formula>$C50=$E$3</formula>
    </cfRule>
    <cfRule type="expression" dxfId="13230" priority="692">
      <formula>$C50&lt;$E$3</formula>
    </cfRule>
    <cfRule type="cellIs" dxfId="13229" priority="693" operator="equal">
      <formula>0</formula>
    </cfRule>
    <cfRule type="expression" dxfId="13228" priority="694">
      <formula>$C50&gt;$E$3</formula>
    </cfRule>
  </conditionalFormatting>
  <conditionalFormatting sqref="K50:K51">
    <cfRule type="expression" dxfId="13227" priority="690">
      <formula>$C50&lt;$E$3</formula>
    </cfRule>
  </conditionalFormatting>
  <conditionalFormatting sqref="K50:K51">
    <cfRule type="expression" dxfId="13226" priority="686">
      <formula>$C50=$E$3</formula>
    </cfRule>
    <cfRule type="expression" dxfId="13225" priority="687">
      <formula>$C50&lt;$E$3</formula>
    </cfRule>
    <cfRule type="cellIs" dxfId="13224" priority="688" operator="equal">
      <formula>0</formula>
    </cfRule>
    <cfRule type="expression" dxfId="13223" priority="689">
      <formula>$C50&gt;$E$3</formula>
    </cfRule>
  </conditionalFormatting>
  <conditionalFormatting sqref="K50:K51">
    <cfRule type="expression" dxfId="13222" priority="685">
      <formula>$C50&lt;$E$3</formula>
    </cfRule>
  </conditionalFormatting>
  <conditionalFormatting sqref="K50:K51">
    <cfRule type="expression" dxfId="13221" priority="681">
      <formula>$C50=$E$3</formula>
    </cfRule>
    <cfRule type="expression" dxfId="13220" priority="682">
      <formula>$C50&lt;$E$3</formula>
    </cfRule>
    <cfRule type="cellIs" dxfId="13219" priority="683" operator="equal">
      <formula>0</formula>
    </cfRule>
    <cfRule type="expression" dxfId="13218" priority="684">
      <formula>$C50&gt;$E$3</formula>
    </cfRule>
  </conditionalFormatting>
  <conditionalFormatting sqref="K50:K51">
    <cfRule type="expression" dxfId="13217" priority="680">
      <formula>$C50&lt;$E$3</formula>
    </cfRule>
  </conditionalFormatting>
  <conditionalFormatting sqref="K50:K51">
    <cfRule type="expression" dxfId="13216" priority="676">
      <formula>$C50=$E$3</formula>
    </cfRule>
    <cfRule type="expression" dxfId="13215" priority="677">
      <formula>$C50&lt;$E$3</formula>
    </cfRule>
    <cfRule type="cellIs" dxfId="13214" priority="678" operator="equal">
      <formula>0</formula>
    </cfRule>
    <cfRule type="expression" dxfId="13213" priority="679">
      <formula>$C50&gt;$E$3</formula>
    </cfRule>
  </conditionalFormatting>
  <conditionalFormatting sqref="K50:K51">
    <cfRule type="expression" dxfId="13212" priority="675">
      <formula>$E50=""</formula>
    </cfRule>
  </conditionalFormatting>
  <conditionalFormatting sqref="K50:K51">
    <cfRule type="expression" dxfId="13211" priority="674">
      <formula>$C50&lt;$E$3</formula>
    </cfRule>
  </conditionalFormatting>
  <conditionalFormatting sqref="K50:K51">
    <cfRule type="expression" dxfId="13210" priority="673">
      <formula>$E50=""</formula>
    </cfRule>
  </conditionalFormatting>
  <conditionalFormatting sqref="K50:K51">
    <cfRule type="expression" dxfId="13209" priority="672">
      <formula>$E50=""</formula>
    </cfRule>
  </conditionalFormatting>
  <conditionalFormatting sqref="K50:K51">
    <cfRule type="expression" dxfId="13208" priority="671">
      <formula>$C50&lt;$E$3</formula>
    </cfRule>
  </conditionalFormatting>
  <conditionalFormatting sqref="K50:K51">
    <cfRule type="expression" dxfId="13207" priority="670">
      <formula>$E50=""</formula>
    </cfRule>
  </conditionalFormatting>
  <conditionalFormatting sqref="K50:K51">
    <cfRule type="expression" dxfId="13206" priority="669">
      <formula>$C50&lt;$E$3</formula>
    </cfRule>
  </conditionalFormatting>
  <conditionalFormatting sqref="K50:K51">
    <cfRule type="expression" dxfId="13205" priority="668">
      <formula>$E50=""</formula>
    </cfRule>
  </conditionalFormatting>
  <conditionalFormatting sqref="K50:K51">
    <cfRule type="expression" dxfId="13204" priority="667">
      <formula>$C50&lt;$E$3</formula>
    </cfRule>
  </conditionalFormatting>
  <conditionalFormatting sqref="K50:K51">
    <cfRule type="expression" dxfId="13203" priority="666">
      <formula>$E50=""</formula>
    </cfRule>
  </conditionalFormatting>
  <conditionalFormatting sqref="K50:K51">
    <cfRule type="expression" dxfId="13202" priority="665">
      <formula>$C50&lt;$E$3</formula>
    </cfRule>
  </conditionalFormatting>
  <conditionalFormatting sqref="K50:K51">
    <cfRule type="expression" dxfId="13201" priority="661">
      <formula>$C50=$E$3</formula>
    </cfRule>
    <cfRule type="expression" dxfId="13200" priority="662">
      <formula>$C50&lt;$E$3</formula>
    </cfRule>
    <cfRule type="cellIs" dxfId="13199" priority="663" operator="equal">
      <formula>0</formula>
    </cfRule>
    <cfRule type="expression" dxfId="13198" priority="664">
      <formula>$C50&gt;$E$3</formula>
    </cfRule>
  </conditionalFormatting>
  <conditionalFormatting sqref="K50:K51">
    <cfRule type="expression" dxfId="13197" priority="660">
      <formula>$C50&lt;$E$3</formula>
    </cfRule>
  </conditionalFormatting>
  <conditionalFormatting sqref="K50:K51">
    <cfRule type="expression" dxfId="13196" priority="656">
      <formula>$C50=$E$3</formula>
    </cfRule>
    <cfRule type="expression" dxfId="13195" priority="657">
      <formula>$C50&lt;$E$3</formula>
    </cfRule>
    <cfRule type="cellIs" dxfId="13194" priority="658" operator="equal">
      <formula>0</formula>
    </cfRule>
    <cfRule type="expression" dxfId="13193" priority="659">
      <formula>$C50&gt;$E$3</formula>
    </cfRule>
  </conditionalFormatting>
  <conditionalFormatting sqref="K50:K51">
    <cfRule type="expression" dxfId="13192" priority="655">
      <formula>$C50&lt;$E$3</formula>
    </cfRule>
  </conditionalFormatting>
  <conditionalFormatting sqref="K50:K51">
    <cfRule type="expression" dxfId="13191" priority="651">
      <formula>$C50=$E$3</formula>
    </cfRule>
    <cfRule type="expression" dxfId="13190" priority="652">
      <formula>$C50&lt;$E$3</formula>
    </cfRule>
    <cfRule type="cellIs" dxfId="13189" priority="653" operator="equal">
      <formula>0</formula>
    </cfRule>
    <cfRule type="expression" dxfId="13188" priority="654">
      <formula>$C50&gt;$E$3</formula>
    </cfRule>
  </conditionalFormatting>
  <conditionalFormatting sqref="K50:K51">
    <cfRule type="expression" dxfId="13187" priority="650">
      <formula>$C50&lt;$E$3</formula>
    </cfRule>
  </conditionalFormatting>
  <conditionalFormatting sqref="K50:K51">
    <cfRule type="expression" dxfId="13186" priority="646">
      <formula>$C50=$E$3</formula>
    </cfRule>
    <cfRule type="expression" dxfId="13185" priority="647">
      <formula>$C50&lt;$E$3</formula>
    </cfRule>
    <cfRule type="cellIs" dxfId="13184" priority="648" operator="equal">
      <formula>0</formula>
    </cfRule>
    <cfRule type="expression" dxfId="13183" priority="649">
      <formula>$C50&gt;$E$3</formula>
    </cfRule>
  </conditionalFormatting>
  <conditionalFormatting sqref="K50:K51">
    <cfRule type="expression" dxfId="13182" priority="645">
      <formula>$E50=""</formula>
    </cfRule>
  </conditionalFormatting>
  <conditionalFormatting sqref="K50:K51">
    <cfRule type="expression" dxfId="13181" priority="644">
      <formula>$C50&lt;$E$3</formula>
    </cfRule>
  </conditionalFormatting>
  <conditionalFormatting sqref="K50:K51">
    <cfRule type="expression" dxfId="13180" priority="643">
      <formula>$E50=""</formula>
    </cfRule>
  </conditionalFormatting>
  <conditionalFormatting sqref="K50:K51">
    <cfRule type="expression" dxfId="13179" priority="642">
      <formula>$E50=""</formula>
    </cfRule>
  </conditionalFormatting>
  <conditionalFormatting sqref="K50:K51">
    <cfRule type="expression" dxfId="13178" priority="641">
      <formula>$C50&lt;$E$3</formula>
    </cfRule>
  </conditionalFormatting>
  <conditionalFormatting sqref="K50:K51">
    <cfRule type="expression" dxfId="13177" priority="640">
      <formula>$E50=""</formula>
    </cfRule>
  </conditionalFormatting>
  <conditionalFormatting sqref="K50:K51">
    <cfRule type="expression" dxfId="13176" priority="639">
      <formula>$C50&lt;$E$3</formula>
    </cfRule>
  </conditionalFormatting>
  <conditionalFormatting sqref="K50:K51">
    <cfRule type="expression" dxfId="13175" priority="638">
      <formula>$E50=""</formula>
    </cfRule>
  </conditionalFormatting>
  <conditionalFormatting sqref="K50:K51">
    <cfRule type="expression" dxfId="13174" priority="637">
      <formula>$C50&lt;$E$3</formula>
    </cfRule>
  </conditionalFormatting>
  <conditionalFormatting sqref="K50:K51">
    <cfRule type="expression" dxfId="13173" priority="636">
      <formula>$E50=""</formula>
    </cfRule>
  </conditionalFormatting>
  <conditionalFormatting sqref="K50:K51">
    <cfRule type="expression" dxfId="13172" priority="634">
      <formula>$C50&lt;$E$3</formula>
    </cfRule>
  </conditionalFormatting>
  <conditionalFormatting sqref="K50:K51">
    <cfRule type="expression" dxfId="13171" priority="631">
      <formula>$C50=$E$3</formula>
    </cfRule>
    <cfRule type="expression" dxfId="13170" priority="632">
      <formula>$C50&lt;$E$3</formula>
    </cfRule>
    <cfRule type="cellIs" dxfId="13169" priority="633" operator="equal">
      <formula>0</formula>
    </cfRule>
    <cfRule type="expression" dxfId="13168" priority="635">
      <formula>$C50&gt;$E$3</formula>
    </cfRule>
  </conditionalFormatting>
  <conditionalFormatting sqref="K50:K51">
    <cfRule type="expression" dxfId="13167" priority="630">
      <formula>$E50=""</formula>
    </cfRule>
  </conditionalFormatting>
  <conditionalFormatting sqref="K50:K51">
    <cfRule type="expression" dxfId="13166" priority="629">
      <formula>$E50=""</formula>
    </cfRule>
  </conditionalFormatting>
  <conditionalFormatting sqref="K50:K51">
    <cfRule type="expression" dxfId="13165" priority="628">
      <formula>$E50=""</formula>
    </cfRule>
  </conditionalFormatting>
  <conditionalFormatting sqref="J14:J20 L14:M20 J41:J47 L32:M38 L41:M47 J23:J29 J32:J38 L23:M29">
    <cfRule type="cellIs" dxfId="13164" priority="626" stopIfTrue="1" operator="lessThan">
      <formula>0</formula>
    </cfRule>
  </conditionalFormatting>
  <conditionalFormatting sqref="J14:J20 J41:J47 L14:M20 L32:M38 L41:M47 J23:J29 J32:J38 L23:M29">
    <cfRule type="expression" dxfId="13163" priority="624">
      <formula>$C14&lt;$E$3</formula>
    </cfRule>
  </conditionalFormatting>
  <conditionalFormatting sqref="J14:J20 J41:J47 L14:M20 L32:M38 L41:M47 J23:J29 J32:J38 L23:M29">
    <cfRule type="expression" dxfId="13162" priority="621">
      <formula>$C14=$E$3</formula>
    </cfRule>
    <cfRule type="expression" dxfId="13161" priority="622">
      <formula>$C14&lt;$E$3</formula>
    </cfRule>
    <cfRule type="cellIs" dxfId="13160" priority="623" operator="equal">
      <formula>0</formula>
    </cfRule>
    <cfRule type="expression" dxfId="13159" priority="625">
      <formula>$C14&gt;$E$3</formula>
    </cfRule>
  </conditionalFormatting>
  <conditionalFormatting sqref="J14:J20 J41:J47 L14:M20 L32:M38 L41:M47 J23:J29 J32:J38 L23:M29">
    <cfRule type="expression" dxfId="13158" priority="620">
      <formula>$E14=""</formula>
    </cfRule>
  </conditionalFormatting>
  <conditionalFormatting sqref="J41:J47 J14:J20 L14:M20 L32:M38 L41:M47 J23:J29 J32:J38 L23:M29">
    <cfRule type="expression" dxfId="13157" priority="619">
      <formula>$E14=""</formula>
    </cfRule>
  </conditionalFormatting>
  <conditionalFormatting sqref="J41:J47 J14:J20 L14:M20 L32:M38 L41:M47 J23:J29 J32:J38 L23:M29">
    <cfRule type="expression" dxfId="13156" priority="618">
      <formula>$E14=""</formula>
    </cfRule>
  </conditionalFormatting>
  <conditionalFormatting sqref="M14:M20 M32:M38 M41:M47 M23:M29">
    <cfRule type="expression" dxfId="13155" priority="617">
      <formula>$C14&lt;$E$3</formula>
    </cfRule>
  </conditionalFormatting>
  <conditionalFormatting sqref="M14:M20 M32:M38 M41:M47 M23:M29">
    <cfRule type="expression" dxfId="13154" priority="613">
      <formula>$C14=$E$3</formula>
    </cfRule>
    <cfRule type="expression" dxfId="13153" priority="614">
      <formula>$C14&lt;$E$3</formula>
    </cfRule>
    <cfRule type="cellIs" dxfId="13152" priority="615" operator="equal">
      <formula>0</formula>
    </cfRule>
    <cfRule type="expression" dxfId="13151" priority="616">
      <formula>$C14&gt;$E$3</formula>
    </cfRule>
  </conditionalFormatting>
  <conditionalFormatting sqref="M14:M20 M32:M38 M41:M47 M23:M29">
    <cfRule type="expression" dxfId="13150" priority="612">
      <formula>$C14&lt;$E$3</formula>
    </cfRule>
  </conditionalFormatting>
  <conditionalFormatting sqref="M14:M20 M32:M38 M41:M47 M23:M29">
    <cfRule type="expression" dxfId="13149" priority="608">
      <formula>$C14=$E$3</formula>
    </cfRule>
    <cfRule type="expression" dxfId="13148" priority="609">
      <formula>$C14&lt;$E$3</formula>
    </cfRule>
    <cfRule type="cellIs" dxfId="13147" priority="610" operator="equal">
      <formula>0</formula>
    </cfRule>
    <cfRule type="expression" dxfId="13146" priority="611">
      <formula>$C14&gt;$E$3</formula>
    </cfRule>
  </conditionalFormatting>
  <conditionalFormatting sqref="M14:M20 M32:M38 M41:M47 M23:M29">
    <cfRule type="expression" dxfId="13145" priority="607">
      <formula>$C14&lt;$E$3</formula>
    </cfRule>
  </conditionalFormatting>
  <conditionalFormatting sqref="M14:M20 M32:M38 M41:M47 M23:M29">
    <cfRule type="expression" dxfId="13144" priority="603">
      <formula>$C14=$E$3</formula>
    </cfRule>
    <cfRule type="expression" dxfId="13143" priority="604">
      <formula>$C14&lt;$E$3</formula>
    </cfRule>
    <cfRule type="cellIs" dxfId="13142" priority="605" operator="equal">
      <formula>0</formula>
    </cfRule>
    <cfRule type="expression" dxfId="13141" priority="606">
      <formula>$C14&gt;$E$3</formula>
    </cfRule>
  </conditionalFormatting>
  <conditionalFormatting sqref="M14:M20 M32:M38 M41:M47 M23:M29">
    <cfRule type="expression" dxfId="13140" priority="602">
      <formula>$C14&lt;$E$3</formula>
    </cfRule>
  </conditionalFormatting>
  <conditionalFormatting sqref="M14:M20 M32:M38 M41:M47 M23:M29">
    <cfRule type="expression" dxfId="13139" priority="598">
      <formula>$C14=$E$3</formula>
    </cfRule>
    <cfRule type="expression" dxfId="13138" priority="599">
      <formula>$C14&lt;$E$3</formula>
    </cfRule>
    <cfRule type="cellIs" dxfId="13137" priority="600" operator="equal">
      <formula>0</formula>
    </cfRule>
    <cfRule type="expression" dxfId="13136" priority="601">
      <formula>$C14&gt;$E$3</formula>
    </cfRule>
  </conditionalFormatting>
  <conditionalFormatting sqref="M14:M20 M32:M38 M41:M47 M23:M29">
    <cfRule type="expression" dxfId="13135" priority="597">
      <formula>$E14=""</formula>
    </cfRule>
  </conditionalFormatting>
  <conditionalFormatting sqref="M14:M20 M32:M38 M41:M47 M23:M29">
    <cfRule type="expression" dxfId="13134" priority="596">
      <formula>$C14&lt;$E$3</formula>
    </cfRule>
  </conditionalFormatting>
  <conditionalFormatting sqref="M14:M20 M32:M38 M41:M47 M23:M29">
    <cfRule type="expression" dxfId="13133" priority="595">
      <formula>$E14=""</formula>
    </cfRule>
  </conditionalFormatting>
  <conditionalFormatting sqref="M32:M38 M41:M47 M14:M20 M23:M29">
    <cfRule type="expression" dxfId="13132" priority="594">
      <formula>$E14=""</formula>
    </cfRule>
  </conditionalFormatting>
  <conditionalFormatting sqref="M14:M20 M32:M38 M41:M47 M23:M29">
    <cfRule type="expression" dxfId="13131" priority="593">
      <formula>$C14&lt;$E$3</formula>
    </cfRule>
  </conditionalFormatting>
  <conditionalFormatting sqref="M14:M20 M32:M38 M41:M47 M23:M29">
    <cfRule type="expression" dxfId="13130" priority="592">
      <formula>$E14=""</formula>
    </cfRule>
  </conditionalFormatting>
  <conditionalFormatting sqref="M14:M20 M32:M38 M41:M47 M23:M29">
    <cfRule type="expression" dxfId="13129" priority="591">
      <formula>$C14&lt;$E$3</formula>
    </cfRule>
  </conditionalFormatting>
  <conditionalFormatting sqref="M14:M20 M32:M38 M41:M47 M23:M29">
    <cfRule type="expression" dxfId="13128" priority="590">
      <formula>$E14=""</formula>
    </cfRule>
  </conditionalFormatting>
  <conditionalFormatting sqref="M14:M20 M32:M38 M41:M47 M23:M29">
    <cfRule type="expression" dxfId="13127" priority="588">
      <formula>$E14=""</formula>
    </cfRule>
  </conditionalFormatting>
  <conditionalFormatting sqref="M14:M20 M32:M38 M41:M47 M23:M29">
    <cfRule type="expression" dxfId="13126" priority="583">
      <formula>$C14=$E$3</formula>
    </cfRule>
    <cfRule type="expression" dxfId="13125" priority="584">
      <formula>$C14&lt;$E$3</formula>
    </cfRule>
    <cfRule type="cellIs" dxfId="13124" priority="585" operator="equal">
      <formula>0</formula>
    </cfRule>
    <cfRule type="expression" dxfId="13123" priority="586">
      <formula>$C14&gt;$E$3</formula>
    </cfRule>
  </conditionalFormatting>
  <conditionalFormatting sqref="M14:M20 M32:M38 M41:M47 M23:M29">
    <cfRule type="expression" dxfId="13122" priority="582">
      <formula>$C14&lt;$E$3</formula>
    </cfRule>
  </conditionalFormatting>
  <conditionalFormatting sqref="M14:M20 M32:M38 M41:M47 M23:M29">
    <cfRule type="expression" dxfId="13121" priority="578">
      <formula>$C14=$E$3</formula>
    </cfRule>
    <cfRule type="expression" dxfId="13120" priority="579">
      <formula>$C14&lt;$E$3</formula>
    </cfRule>
    <cfRule type="cellIs" dxfId="13119" priority="580" operator="equal">
      <formula>0</formula>
    </cfRule>
    <cfRule type="expression" dxfId="13118" priority="581">
      <formula>$C14&gt;$E$3</formula>
    </cfRule>
  </conditionalFormatting>
  <conditionalFormatting sqref="M14:M20 M32:M38 M41:M47 M23:M29">
    <cfRule type="expression" dxfId="13117" priority="577">
      <formula>$C14&lt;$E$3</formula>
    </cfRule>
  </conditionalFormatting>
  <conditionalFormatting sqref="M14:M20 M32:M38 M41:M47 M23:M29">
    <cfRule type="expression" dxfId="13116" priority="573">
      <formula>$C14=$E$3</formula>
    </cfRule>
    <cfRule type="expression" dxfId="13115" priority="574">
      <formula>$C14&lt;$E$3</formula>
    </cfRule>
    <cfRule type="cellIs" dxfId="13114" priority="575" operator="equal">
      <formula>0</formula>
    </cfRule>
    <cfRule type="expression" dxfId="13113" priority="576">
      <formula>$C14&gt;$E$3</formula>
    </cfRule>
  </conditionalFormatting>
  <conditionalFormatting sqref="M14:M20 M32:M38 M41:M47 M23:M29">
    <cfRule type="expression" dxfId="13112" priority="572">
      <formula>$C14&lt;$E$3</formula>
    </cfRule>
  </conditionalFormatting>
  <conditionalFormatting sqref="M14:M20 M32:M38 M41:M47 M23:M29">
    <cfRule type="expression" dxfId="13111" priority="568">
      <formula>$C14=$E$3</formula>
    </cfRule>
    <cfRule type="expression" dxfId="13110" priority="569">
      <formula>$C14&lt;$E$3</formula>
    </cfRule>
    <cfRule type="cellIs" dxfId="13109" priority="570" operator="equal">
      <formula>0</formula>
    </cfRule>
    <cfRule type="expression" dxfId="13108" priority="571">
      <formula>$C14&gt;$E$3</formula>
    </cfRule>
  </conditionalFormatting>
  <conditionalFormatting sqref="M14:M20 M32:M38 M41:M47 M23:M29">
    <cfRule type="expression" dxfId="13107" priority="567">
      <formula>$E14=""</formula>
    </cfRule>
  </conditionalFormatting>
  <conditionalFormatting sqref="M14:M20 M32:M38 M41:M47 M23:M29">
    <cfRule type="expression" dxfId="13106" priority="566">
      <formula>$C14&lt;$E$3</formula>
    </cfRule>
  </conditionalFormatting>
  <conditionalFormatting sqref="M14:M20 M32:M38 M41:M47 M23:M29">
    <cfRule type="expression" dxfId="13105" priority="565">
      <formula>$E14=""</formula>
    </cfRule>
  </conditionalFormatting>
  <conditionalFormatting sqref="M32:M38 M41:M47 M14:M20 M23:M29">
    <cfRule type="expression" dxfId="13104" priority="564">
      <formula>$E14=""</formula>
    </cfRule>
  </conditionalFormatting>
  <conditionalFormatting sqref="M14:M20 M32:M38 M41:M47 M23:M29">
    <cfRule type="expression" dxfId="13103" priority="563">
      <formula>$C14&lt;$E$3</formula>
    </cfRule>
  </conditionalFormatting>
  <conditionalFormatting sqref="M14:M20 M32:M38 M41:M47 M23:M29">
    <cfRule type="expression" dxfId="13102" priority="562">
      <formula>$E14=""</formula>
    </cfRule>
  </conditionalFormatting>
  <conditionalFormatting sqref="M14:M20 M32:M38 M41:M47 M23:M29">
    <cfRule type="expression" dxfId="13101" priority="561">
      <formula>$C14&lt;$E$3</formula>
    </cfRule>
  </conditionalFormatting>
  <conditionalFormatting sqref="M14:M20 M32:M38 M41:M47 M23:M29">
    <cfRule type="expression" dxfId="13100" priority="560">
      <formula>$E14=""</formula>
    </cfRule>
  </conditionalFormatting>
  <conditionalFormatting sqref="M14:M20 M32:M38 M41:M47 M23:M29">
    <cfRule type="expression" dxfId="13099" priority="558">
      <formula>$E14=""</formula>
    </cfRule>
  </conditionalFormatting>
  <conditionalFormatting sqref="K37">
    <cfRule type="expression" dxfId="13098" priority="263">
      <formula>$C37&lt;$E$3</formula>
    </cfRule>
  </conditionalFormatting>
  <conditionalFormatting sqref="K37">
    <cfRule type="expression" dxfId="13097" priority="259">
      <formula>$C37=$E$3</formula>
    </cfRule>
    <cfRule type="expression" dxfId="13096" priority="260">
      <formula>$C37&lt;$E$3</formula>
    </cfRule>
    <cfRule type="cellIs" dxfId="13095" priority="261" operator="equal">
      <formula>0</formula>
    </cfRule>
    <cfRule type="expression" dxfId="13094" priority="262">
      <formula>$C37&gt;$E$3</formula>
    </cfRule>
  </conditionalFormatting>
  <conditionalFormatting sqref="K37">
    <cfRule type="expression" dxfId="13093" priority="258">
      <formula>$C37&lt;$E$3</formula>
    </cfRule>
  </conditionalFormatting>
  <conditionalFormatting sqref="K37">
    <cfRule type="expression" dxfId="13092" priority="254">
      <formula>$C37=$E$3</formula>
    </cfRule>
    <cfRule type="expression" dxfId="13091" priority="255">
      <formula>$C37&lt;$E$3</formula>
    </cfRule>
    <cfRule type="cellIs" dxfId="13090" priority="256" operator="equal">
      <formula>0</formula>
    </cfRule>
    <cfRule type="expression" dxfId="13089" priority="257">
      <formula>$C37&gt;$E$3</formula>
    </cfRule>
  </conditionalFormatting>
  <conditionalFormatting sqref="K37">
    <cfRule type="expression" dxfId="13088" priority="233">
      <formula>$C37&lt;$E$3</formula>
    </cfRule>
  </conditionalFormatting>
  <conditionalFormatting sqref="K37">
    <cfRule type="expression" dxfId="13087" priority="229">
      <formula>$C37=$E$3</formula>
    </cfRule>
    <cfRule type="expression" dxfId="13086" priority="230">
      <formula>$C37&lt;$E$3</formula>
    </cfRule>
    <cfRule type="cellIs" dxfId="13085" priority="231" operator="equal">
      <formula>0</formula>
    </cfRule>
    <cfRule type="expression" dxfId="13084" priority="232">
      <formula>$C37&gt;$E$3</formula>
    </cfRule>
  </conditionalFormatting>
  <conditionalFormatting sqref="K37">
    <cfRule type="expression" dxfId="13083" priority="228">
      <formula>$C37&lt;$E$3</formula>
    </cfRule>
  </conditionalFormatting>
  <conditionalFormatting sqref="K37">
    <cfRule type="expression" dxfId="13082" priority="224">
      <formula>$C37=$E$3</formula>
    </cfRule>
    <cfRule type="expression" dxfId="13081" priority="225">
      <formula>$C37&lt;$E$3</formula>
    </cfRule>
    <cfRule type="cellIs" dxfId="13080" priority="226" operator="equal">
      <formula>0</formula>
    </cfRule>
    <cfRule type="expression" dxfId="13079" priority="227">
      <formula>$C37&gt;$E$3</formula>
    </cfRule>
  </conditionalFormatting>
  <conditionalFormatting sqref="K32:K36">
    <cfRule type="expression" dxfId="13078" priority="203">
      <formula>$C32&lt;$E$3</formula>
    </cfRule>
  </conditionalFormatting>
  <conditionalFormatting sqref="K32:K36">
    <cfRule type="expression" dxfId="13077" priority="199">
      <formula>$C32=$E$3</formula>
    </cfRule>
    <cfRule type="expression" dxfId="13076" priority="200">
      <formula>$C32&lt;$E$3</formula>
    </cfRule>
    <cfRule type="cellIs" dxfId="13075" priority="201" operator="equal">
      <formula>0</formula>
    </cfRule>
    <cfRule type="expression" dxfId="13074" priority="202">
      <formula>$C32&gt;$E$3</formula>
    </cfRule>
  </conditionalFormatting>
  <conditionalFormatting sqref="K32:K36">
    <cfRule type="expression" dxfId="13073" priority="198">
      <formula>$C32&lt;$E$3</formula>
    </cfRule>
  </conditionalFormatting>
  <conditionalFormatting sqref="K32:K36">
    <cfRule type="expression" dxfId="13072" priority="194">
      <formula>$C32=$E$3</formula>
    </cfRule>
    <cfRule type="expression" dxfId="13071" priority="195">
      <formula>$C32&lt;$E$3</formula>
    </cfRule>
    <cfRule type="cellIs" dxfId="13070" priority="196" operator="equal">
      <formula>0</formula>
    </cfRule>
    <cfRule type="expression" dxfId="13069" priority="197">
      <formula>$C32&gt;$E$3</formula>
    </cfRule>
  </conditionalFormatting>
  <conditionalFormatting sqref="J39:N40">
    <cfRule type="expression" dxfId="13068" priority="557">
      <formula>$L$40=0</formula>
    </cfRule>
  </conditionalFormatting>
  <conditionalFormatting sqref="K14:K20">
    <cfRule type="cellIs" dxfId="13067" priority="556" stopIfTrue="1" operator="lessThan">
      <formula>0</formula>
    </cfRule>
  </conditionalFormatting>
  <conditionalFormatting sqref="K14:K20">
    <cfRule type="expression" dxfId="13066" priority="554">
      <formula>$C14&lt;$E$3</formula>
    </cfRule>
  </conditionalFormatting>
  <conditionalFormatting sqref="K14:K20">
    <cfRule type="expression" dxfId="13065" priority="551">
      <formula>$C14=$E$3</formula>
    </cfRule>
    <cfRule type="expression" dxfId="13064" priority="552">
      <formula>$C14&lt;$E$3</formula>
    </cfRule>
    <cfRule type="cellIs" dxfId="13063" priority="553" operator="equal">
      <formula>0</formula>
    </cfRule>
    <cfRule type="expression" dxfId="13062" priority="555">
      <formula>$C14&gt;$E$3</formula>
    </cfRule>
  </conditionalFormatting>
  <conditionalFormatting sqref="K14:K20">
    <cfRule type="expression" dxfId="13061" priority="550">
      <formula>$E14=""</formula>
    </cfRule>
  </conditionalFormatting>
  <conditionalFormatting sqref="K14:K20">
    <cfRule type="expression" dxfId="13060" priority="549">
      <formula>$E14=""</formula>
    </cfRule>
  </conditionalFormatting>
  <conditionalFormatting sqref="K14:K20">
    <cfRule type="expression" dxfId="13059" priority="548">
      <formula>$E14=""</formula>
    </cfRule>
  </conditionalFormatting>
  <conditionalFormatting sqref="K19">
    <cfRule type="expression" dxfId="13058" priority="547">
      <formula>$C19&lt;$E$3</formula>
    </cfRule>
  </conditionalFormatting>
  <conditionalFormatting sqref="K19">
    <cfRule type="expression" dxfId="13057" priority="543">
      <formula>$C19=$E$3</formula>
    </cfRule>
    <cfRule type="expression" dxfId="13056" priority="544">
      <formula>$C19&lt;$E$3</formula>
    </cfRule>
    <cfRule type="cellIs" dxfId="13055" priority="545" operator="equal">
      <formula>0</formula>
    </cfRule>
    <cfRule type="expression" dxfId="13054" priority="546">
      <formula>$C19&gt;$E$3</formula>
    </cfRule>
  </conditionalFormatting>
  <conditionalFormatting sqref="K19">
    <cfRule type="expression" dxfId="13053" priority="542">
      <formula>$C19&lt;$E$3</formula>
    </cfRule>
  </conditionalFormatting>
  <conditionalFormatting sqref="K19">
    <cfRule type="expression" dxfId="13052" priority="538">
      <formula>$C19=$E$3</formula>
    </cfRule>
    <cfRule type="expression" dxfId="13051" priority="539">
      <formula>$C19&lt;$E$3</formula>
    </cfRule>
    <cfRule type="cellIs" dxfId="13050" priority="540" operator="equal">
      <formula>0</formula>
    </cfRule>
    <cfRule type="expression" dxfId="13049" priority="541">
      <formula>$C19&gt;$E$3</formula>
    </cfRule>
  </conditionalFormatting>
  <conditionalFormatting sqref="K19">
    <cfRule type="expression" dxfId="13048" priority="537">
      <formula>$C19&lt;$E$3</formula>
    </cfRule>
  </conditionalFormatting>
  <conditionalFormatting sqref="K19">
    <cfRule type="expression" dxfId="13047" priority="533">
      <formula>$C19=$E$3</formula>
    </cfRule>
    <cfRule type="expression" dxfId="13046" priority="534">
      <formula>$C19&lt;$E$3</formula>
    </cfRule>
    <cfRule type="cellIs" dxfId="13045" priority="535" operator="equal">
      <formula>0</formula>
    </cfRule>
    <cfRule type="expression" dxfId="13044" priority="536">
      <formula>$C19&gt;$E$3</formula>
    </cfRule>
  </conditionalFormatting>
  <conditionalFormatting sqref="K19">
    <cfRule type="expression" dxfId="13043" priority="532">
      <formula>$C19&lt;$E$3</formula>
    </cfRule>
  </conditionalFormatting>
  <conditionalFormatting sqref="K19">
    <cfRule type="expression" dxfId="13042" priority="528">
      <formula>$C19=$E$3</formula>
    </cfRule>
    <cfRule type="expression" dxfId="13041" priority="529">
      <formula>$C19&lt;$E$3</formula>
    </cfRule>
    <cfRule type="cellIs" dxfId="13040" priority="530" operator="equal">
      <formula>0</formula>
    </cfRule>
    <cfRule type="expression" dxfId="13039" priority="531">
      <formula>$C19&gt;$E$3</formula>
    </cfRule>
  </conditionalFormatting>
  <conditionalFormatting sqref="K19">
    <cfRule type="expression" dxfId="13038" priority="527">
      <formula>$E19=""</formula>
    </cfRule>
  </conditionalFormatting>
  <conditionalFormatting sqref="K19">
    <cfRule type="expression" dxfId="13037" priority="526">
      <formula>$C19&lt;$E$3</formula>
    </cfRule>
  </conditionalFormatting>
  <conditionalFormatting sqref="K19">
    <cfRule type="expression" dxfId="13036" priority="525">
      <formula>$E19=""</formula>
    </cfRule>
  </conditionalFormatting>
  <conditionalFormatting sqref="K19">
    <cfRule type="expression" dxfId="13035" priority="524">
      <formula>$E19=""</formula>
    </cfRule>
  </conditionalFormatting>
  <conditionalFormatting sqref="K19">
    <cfRule type="expression" dxfId="13034" priority="523">
      <formula>$C19&lt;$E$3</formula>
    </cfRule>
  </conditionalFormatting>
  <conditionalFormatting sqref="K19">
    <cfRule type="expression" dxfId="13033" priority="522">
      <formula>$E19=""</formula>
    </cfRule>
  </conditionalFormatting>
  <conditionalFormatting sqref="K19">
    <cfRule type="expression" dxfId="13032" priority="521">
      <formula>$C19&lt;$E$3</formula>
    </cfRule>
  </conditionalFormatting>
  <conditionalFormatting sqref="K19">
    <cfRule type="expression" dxfId="13031" priority="520">
      <formula>$E19=""</formula>
    </cfRule>
  </conditionalFormatting>
  <conditionalFormatting sqref="K19">
    <cfRule type="expression" dxfId="13030" priority="518">
      <formula>$E19=""</formula>
    </cfRule>
  </conditionalFormatting>
  <conditionalFormatting sqref="K19">
    <cfRule type="expression" dxfId="13029" priority="513">
      <formula>$C19=$E$3</formula>
    </cfRule>
    <cfRule type="expression" dxfId="13028" priority="514">
      <formula>$C19&lt;$E$3</formula>
    </cfRule>
    <cfRule type="cellIs" dxfId="13027" priority="515" operator="equal">
      <formula>0</formula>
    </cfRule>
    <cfRule type="expression" dxfId="13026" priority="516">
      <formula>$C19&gt;$E$3</formula>
    </cfRule>
  </conditionalFormatting>
  <conditionalFormatting sqref="K19">
    <cfRule type="expression" dxfId="13025" priority="512">
      <formula>$C19&lt;$E$3</formula>
    </cfRule>
  </conditionalFormatting>
  <conditionalFormatting sqref="K19">
    <cfRule type="expression" dxfId="13024" priority="508">
      <formula>$C19=$E$3</formula>
    </cfRule>
    <cfRule type="expression" dxfId="13023" priority="509">
      <formula>$C19&lt;$E$3</formula>
    </cfRule>
    <cfRule type="cellIs" dxfId="13022" priority="510" operator="equal">
      <formula>0</formula>
    </cfRule>
    <cfRule type="expression" dxfId="13021" priority="511">
      <formula>$C19&gt;$E$3</formula>
    </cfRule>
  </conditionalFormatting>
  <conditionalFormatting sqref="K19">
    <cfRule type="expression" dxfId="13020" priority="507">
      <formula>$C19&lt;$E$3</formula>
    </cfRule>
  </conditionalFormatting>
  <conditionalFormatting sqref="K19">
    <cfRule type="expression" dxfId="13019" priority="503">
      <formula>$C19=$E$3</formula>
    </cfRule>
    <cfRule type="expression" dxfId="13018" priority="504">
      <formula>$C19&lt;$E$3</formula>
    </cfRule>
    <cfRule type="cellIs" dxfId="13017" priority="505" operator="equal">
      <formula>0</formula>
    </cfRule>
    <cfRule type="expression" dxfId="13016" priority="506">
      <formula>$C19&gt;$E$3</formula>
    </cfRule>
  </conditionalFormatting>
  <conditionalFormatting sqref="K19">
    <cfRule type="expression" dxfId="13015" priority="502">
      <formula>$C19&lt;$E$3</formula>
    </cfRule>
  </conditionalFormatting>
  <conditionalFormatting sqref="K19">
    <cfRule type="expression" dxfId="13014" priority="498">
      <formula>$C19=$E$3</formula>
    </cfRule>
    <cfRule type="expression" dxfId="13013" priority="499">
      <formula>$C19&lt;$E$3</formula>
    </cfRule>
    <cfRule type="cellIs" dxfId="13012" priority="500" operator="equal">
      <formula>0</formula>
    </cfRule>
    <cfRule type="expression" dxfId="13011" priority="501">
      <formula>$C19&gt;$E$3</formula>
    </cfRule>
  </conditionalFormatting>
  <conditionalFormatting sqref="K19">
    <cfRule type="expression" dxfId="13010" priority="497">
      <formula>$E19=""</formula>
    </cfRule>
  </conditionalFormatting>
  <conditionalFormatting sqref="K19">
    <cfRule type="expression" dxfId="13009" priority="496">
      <formula>$C19&lt;$E$3</formula>
    </cfRule>
  </conditionalFormatting>
  <conditionalFormatting sqref="K19">
    <cfRule type="expression" dxfId="13008" priority="495">
      <formula>$E19=""</formula>
    </cfRule>
  </conditionalFormatting>
  <conditionalFormatting sqref="K19">
    <cfRule type="expression" dxfId="13007" priority="494">
      <formula>$E19=""</formula>
    </cfRule>
  </conditionalFormatting>
  <conditionalFormatting sqref="K19">
    <cfRule type="expression" dxfId="13006" priority="493">
      <formula>$C19&lt;$E$3</formula>
    </cfRule>
  </conditionalFormatting>
  <conditionalFormatting sqref="K19">
    <cfRule type="expression" dxfId="13005" priority="492">
      <formula>$E19=""</formula>
    </cfRule>
  </conditionalFormatting>
  <conditionalFormatting sqref="K19">
    <cfRule type="expression" dxfId="13004" priority="491">
      <formula>$C19&lt;$E$3</formula>
    </cfRule>
  </conditionalFormatting>
  <conditionalFormatting sqref="K19">
    <cfRule type="expression" dxfId="13003" priority="490">
      <formula>$E19=""</formula>
    </cfRule>
  </conditionalFormatting>
  <conditionalFormatting sqref="K19">
    <cfRule type="expression" dxfId="13002" priority="488">
      <formula>$E19=""</formula>
    </cfRule>
  </conditionalFormatting>
  <conditionalFormatting sqref="K14:K18">
    <cfRule type="expression" dxfId="13001" priority="483">
      <formula>$C14=$E$3</formula>
    </cfRule>
    <cfRule type="expression" dxfId="13000" priority="484">
      <formula>$C14&lt;$E$3</formula>
    </cfRule>
    <cfRule type="cellIs" dxfId="12999" priority="485" operator="equal">
      <formula>0</formula>
    </cfRule>
    <cfRule type="expression" dxfId="12998" priority="486">
      <formula>$C14&gt;$E$3</formula>
    </cfRule>
  </conditionalFormatting>
  <conditionalFormatting sqref="K14:K18">
    <cfRule type="expression" dxfId="12997" priority="482">
      <formula>$C14&lt;$E$3</formula>
    </cfRule>
  </conditionalFormatting>
  <conditionalFormatting sqref="K14:K18">
    <cfRule type="expression" dxfId="12996" priority="478">
      <formula>$C14=$E$3</formula>
    </cfRule>
    <cfRule type="expression" dxfId="12995" priority="479">
      <formula>$C14&lt;$E$3</formula>
    </cfRule>
    <cfRule type="cellIs" dxfId="12994" priority="480" operator="equal">
      <formula>0</formula>
    </cfRule>
    <cfRule type="expression" dxfId="12993" priority="481">
      <formula>$C14&gt;$E$3</formula>
    </cfRule>
  </conditionalFormatting>
  <conditionalFormatting sqref="K14:K18">
    <cfRule type="expression" dxfId="12992" priority="477">
      <formula>$C14&lt;$E$3</formula>
    </cfRule>
  </conditionalFormatting>
  <conditionalFormatting sqref="K14:K18">
    <cfRule type="expression" dxfId="12991" priority="473">
      <formula>$C14=$E$3</formula>
    </cfRule>
    <cfRule type="expression" dxfId="12990" priority="474">
      <formula>$C14&lt;$E$3</formula>
    </cfRule>
    <cfRule type="cellIs" dxfId="12989" priority="475" operator="equal">
      <formula>0</formula>
    </cfRule>
    <cfRule type="expression" dxfId="12988" priority="476">
      <formula>$C14&gt;$E$3</formula>
    </cfRule>
  </conditionalFormatting>
  <conditionalFormatting sqref="K14:K18">
    <cfRule type="expression" dxfId="12987" priority="472">
      <formula>$C14&lt;$E$3</formula>
    </cfRule>
  </conditionalFormatting>
  <conditionalFormatting sqref="K14:K18">
    <cfRule type="expression" dxfId="12986" priority="468">
      <formula>$C14=$E$3</formula>
    </cfRule>
    <cfRule type="expression" dxfId="12985" priority="469">
      <formula>$C14&lt;$E$3</formula>
    </cfRule>
    <cfRule type="cellIs" dxfId="12984" priority="470" operator="equal">
      <formula>0</formula>
    </cfRule>
    <cfRule type="expression" dxfId="12983" priority="471">
      <formula>$C14&gt;$E$3</formula>
    </cfRule>
  </conditionalFormatting>
  <conditionalFormatting sqref="K14:K18">
    <cfRule type="expression" dxfId="12982" priority="467">
      <formula>$E14=""</formula>
    </cfRule>
  </conditionalFormatting>
  <conditionalFormatting sqref="K14:K18">
    <cfRule type="expression" dxfId="12981" priority="466">
      <formula>$C14&lt;$E$3</formula>
    </cfRule>
  </conditionalFormatting>
  <conditionalFormatting sqref="K14:K18">
    <cfRule type="expression" dxfId="12980" priority="465">
      <formula>$E14=""</formula>
    </cfRule>
  </conditionalFormatting>
  <conditionalFormatting sqref="K14:K18">
    <cfRule type="expression" dxfId="12979" priority="464">
      <formula>$E14=""</formula>
    </cfRule>
  </conditionalFormatting>
  <conditionalFormatting sqref="K14:K18">
    <cfRule type="expression" dxfId="12978" priority="463">
      <formula>$C14&lt;$E$3</formula>
    </cfRule>
  </conditionalFormatting>
  <conditionalFormatting sqref="K14:K18">
    <cfRule type="expression" dxfId="12977" priority="462">
      <formula>$E14=""</formula>
    </cfRule>
  </conditionalFormatting>
  <conditionalFormatting sqref="K14:K18">
    <cfRule type="expression" dxfId="12976" priority="461">
      <formula>$C14&lt;$E$3</formula>
    </cfRule>
  </conditionalFormatting>
  <conditionalFormatting sqref="K14:K18">
    <cfRule type="expression" dxfId="12975" priority="460">
      <formula>$E14=""</formula>
    </cfRule>
  </conditionalFormatting>
  <conditionalFormatting sqref="K14:K18">
    <cfRule type="expression" dxfId="12974" priority="458">
      <formula>$E14=""</formula>
    </cfRule>
  </conditionalFormatting>
  <conditionalFormatting sqref="K14:K18">
    <cfRule type="expression" dxfId="12973" priority="453">
      <formula>$C14=$E$3</formula>
    </cfRule>
    <cfRule type="expression" dxfId="12972" priority="454">
      <formula>$C14&lt;$E$3</formula>
    </cfRule>
    <cfRule type="cellIs" dxfId="12971" priority="455" operator="equal">
      <formula>0</formula>
    </cfRule>
    <cfRule type="expression" dxfId="12970" priority="456">
      <formula>$C14&gt;$E$3</formula>
    </cfRule>
  </conditionalFormatting>
  <conditionalFormatting sqref="K14:K18">
    <cfRule type="expression" dxfId="12969" priority="452">
      <formula>$C14&lt;$E$3</formula>
    </cfRule>
  </conditionalFormatting>
  <conditionalFormatting sqref="K14:K18">
    <cfRule type="expression" dxfId="12968" priority="448">
      <formula>$C14=$E$3</formula>
    </cfRule>
    <cfRule type="expression" dxfId="12967" priority="449">
      <formula>$C14&lt;$E$3</formula>
    </cfRule>
    <cfRule type="cellIs" dxfId="12966" priority="450" operator="equal">
      <formula>0</formula>
    </cfRule>
    <cfRule type="expression" dxfId="12965" priority="451">
      <formula>$C14&gt;$E$3</formula>
    </cfRule>
  </conditionalFormatting>
  <conditionalFormatting sqref="K14:K18">
    <cfRule type="expression" dxfId="12964" priority="447">
      <formula>$C14&lt;$E$3</formula>
    </cfRule>
  </conditionalFormatting>
  <conditionalFormatting sqref="K14:K18">
    <cfRule type="expression" dxfId="12963" priority="443">
      <formula>$C14=$E$3</formula>
    </cfRule>
    <cfRule type="expression" dxfId="12962" priority="444">
      <formula>$C14&lt;$E$3</formula>
    </cfRule>
    <cfRule type="cellIs" dxfId="12961" priority="445" operator="equal">
      <formula>0</formula>
    </cfRule>
    <cfRule type="expression" dxfId="12960" priority="446">
      <formula>$C14&gt;$E$3</formula>
    </cfRule>
  </conditionalFormatting>
  <conditionalFormatting sqref="K14:K18">
    <cfRule type="expression" dxfId="12959" priority="442">
      <formula>$C14&lt;$E$3</formula>
    </cfRule>
  </conditionalFormatting>
  <conditionalFormatting sqref="K14:K18">
    <cfRule type="expression" dxfId="12958" priority="438">
      <formula>$C14=$E$3</formula>
    </cfRule>
    <cfRule type="expression" dxfId="12957" priority="439">
      <formula>$C14&lt;$E$3</formula>
    </cfRule>
    <cfRule type="cellIs" dxfId="12956" priority="440" operator="equal">
      <formula>0</formula>
    </cfRule>
    <cfRule type="expression" dxfId="12955" priority="441">
      <formula>$C14&gt;$E$3</formula>
    </cfRule>
  </conditionalFormatting>
  <conditionalFormatting sqref="K14:K18">
    <cfRule type="expression" dxfId="12954" priority="437">
      <formula>$E14=""</formula>
    </cfRule>
  </conditionalFormatting>
  <conditionalFormatting sqref="K14:K18">
    <cfRule type="expression" dxfId="12953" priority="436">
      <formula>$C14&lt;$E$3</formula>
    </cfRule>
  </conditionalFormatting>
  <conditionalFormatting sqref="K14:K18">
    <cfRule type="expression" dxfId="12952" priority="435">
      <formula>$E14=""</formula>
    </cfRule>
  </conditionalFormatting>
  <conditionalFormatting sqref="K14:K18">
    <cfRule type="expression" dxfId="12951" priority="434">
      <formula>$E14=""</formula>
    </cfRule>
  </conditionalFormatting>
  <conditionalFormatting sqref="K14:K18">
    <cfRule type="expression" dxfId="12950" priority="433">
      <formula>$C14&lt;$E$3</formula>
    </cfRule>
  </conditionalFormatting>
  <conditionalFormatting sqref="K14:K18">
    <cfRule type="expression" dxfId="12949" priority="432">
      <formula>$E14=""</formula>
    </cfRule>
  </conditionalFormatting>
  <conditionalFormatting sqref="K14:K18">
    <cfRule type="expression" dxfId="12948" priority="431">
      <formula>$C14&lt;$E$3</formula>
    </cfRule>
  </conditionalFormatting>
  <conditionalFormatting sqref="K14:K18">
    <cfRule type="expression" dxfId="12947" priority="430">
      <formula>$E14=""</formula>
    </cfRule>
  </conditionalFormatting>
  <conditionalFormatting sqref="K14:K18">
    <cfRule type="expression" dxfId="12946" priority="428">
      <formula>$E14=""</formula>
    </cfRule>
  </conditionalFormatting>
  <conditionalFormatting sqref="K14:K20">
    <cfRule type="expression" dxfId="12945" priority="426">
      <formula>$C14&lt;$E$3</formula>
    </cfRule>
  </conditionalFormatting>
  <conditionalFormatting sqref="K14:K20">
    <cfRule type="expression" dxfId="12944" priority="423">
      <formula>$C14=$E$3</formula>
    </cfRule>
    <cfRule type="expression" dxfId="12943" priority="424">
      <formula>$C14&lt;$E$3</formula>
    </cfRule>
    <cfRule type="cellIs" dxfId="12942" priority="425" operator="equal">
      <formula>0</formula>
    </cfRule>
    <cfRule type="expression" dxfId="12941" priority="427">
      <formula>$C14&gt;$E$3</formula>
    </cfRule>
  </conditionalFormatting>
  <conditionalFormatting sqref="K14:K20">
    <cfRule type="expression" dxfId="12940" priority="422">
      <formula>$E14=""</formula>
    </cfRule>
  </conditionalFormatting>
  <conditionalFormatting sqref="K14:K20">
    <cfRule type="expression" dxfId="12939" priority="421">
      <formula>$E14=""</formula>
    </cfRule>
  </conditionalFormatting>
  <conditionalFormatting sqref="K14:K20">
    <cfRule type="expression" dxfId="12938" priority="420">
      <formula>$E14=""</formula>
    </cfRule>
  </conditionalFormatting>
  <conditionalFormatting sqref="K23:K29">
    <cfRule type="cellIs" dxfId="12937" priority="419" stopIfTrue="1" operator="lessThan">
      <formula>0</formula>
    </cfRule>
  </conditionalFormatting>
  <conditionalFormatting sqref="K23:K29">
    <cfRule type="expression" dxfId="12936" priority="417">
      <formula>$C23&lt;$E$3</formula>
    </cfRule>
  </conditionalFormatting>
  <conditionalFormatting sqref="K23:K29">
    <cfRule type="expression" dxfId="12935" priority="414">
      <formula>$C23=$E$3</formula>
    </cfRule>
    <cfRule type="expression" dxfId="12934" priority="415">
      <formula>$C23&lt;$E$3</formula>
    </cfRule>
    <cfRule type="cellIs" dxfId="12933" priority="416" operator="equal">
      <formula>0</formula>
    </cfRule>
    <cfRule type="expression" dxfId="12932" priority="418">
      <formula>$C23&gt;$E$3</formula>
    </cfRule>
  </conditionalFormatting>
  <conditionalFormatting sqref="K23:K29">
    <cfRule type="expression" dxfId="12931" priority="413">
      <formula>$E23=""</formula>
    </cfRule>
  </conditionalFormatting>
  <conditionalFormatting sqref="K23:K29">
    <cfRule type="expression" dxfId="12930" priority="412">
      <formula>$E23=""</formula>
    </cfRule>
  </conditionalFormatting>
  <conditionalFormatting sqref="K23:K29">
    <cfRule type="expression" dxfId="12929" priority="411">
      <formula>$E23=""</formula>
    </cfRule>
  </conditionalFormatting>
  <conditionalFormatting sqref="K28">
    <cfRule type="expression" dxfId="12928" priority="410">
      <formula>$C28&lt;$E$3</formula>
    </cfRule>
  </conditionalFormatting>
  <conditionalFormatting sqref="K28">
    <cfRule type="expression" dxfId="12927" priority="406">
      <formula>$C28=$E$3</formula>
    </cfRule>
    <cfRule type="expression" dxfId="12926" priority="407">
      <formula>$C28&lt;$E$3</formula>
    </cfRule>
    <cfRule type="cellIs" dxfId="12925" priority="408" operator="equal">
      <formula>0</formula>
    </cfRule>
    <cfRule type="expression" dxfId="12924" priority="409">
      <formula>$C28&gt;$E$3</formula>
    </cfRule>
  </conditionalFormatting>
  <conditionalFormatting sqref="K28">
    <cfRule type="expression" dxfId="12923" priority="405">
      <formula>$C28&lt;$E$3</formula>
    </cfRule>
  </conditionalFormatting>
  <conditionalFormatting sqref="K28">
    <cfRule type="expression" dxfId="12922" priority="401">
      <formula>$C28=$E$3</formula>
    </cfRule>
    <cfRule type="expression" dxfId="12921" priority="402">
      <formula>$C28&lt;$E$3</formula>
    </cfRule>
    <cfRule type="cellIs" dxfId="12920" priority="403" operator="equal">
      <formula>0</formula>
    </cfRule>
    <cfRule type="expression" dxfId="12919" priority="404">
      <formula>$C28&gt;$E$3</formula>
    </cfRule>
  </conditionalFormatting>
  <conditionalFormatting sqref="K28">
    <cfRule type="expression" dxfId="12918" priority="400">
      <formula>$C28&lt;$E$3</formula>
    </cfRule>
  </conditionalFormatting>
  <conditionalFormatting sqref="K28">
    <cfRule type="expression" dxfId="12917" priority="396">
      <formula>$C28=$E$3</formula>
    </cfRule>
    <cfRule type="expression" dxfId="12916" priority="397">
      <formula>$C28&lt;$E$3</formula>
    </cfRule>
    <cfRule type="cellIs" dxfId="12915" priority="398" operator="equal">
      <formula>0</formula>
    </cfRule>
    <cfRule type="expression" dxfId="12914" priority="399">
      <formula>$C28&gt;$E$3</formula>
    </cfRule>
  </conditionalFormatting>
  <conditionalFormatting sqref="K28">
    <cfRule type="expression" dxfId="12913" priority="395">
      <formula>$C28&lt;$E$3</formula>
    </cfRule>
  </conditionalFormatting>
  <conditionalFormatting sqref="K28">
    <cfRule type="expression" dxfId="12912" priority="391">
      <formula>$C28=$E$3</formula>
    </cfRule>
    <cfRule type="expression" dxfId="12911" priority="392">
      <formula>$C28&lt;$E$3</formula>
    </cfRule>
    <cfRule type="cellIs" dxfId="12910" priority="393" operator="equal">
      <formula>0</formula>
    </cfRule>
    <cfRule type="expression" dxfId="12909" priority="394">
      <formula>$C28&gt;$E$3</formula>
    </cfRule>
  </conditionalFormatting>
  <conditionalFormatting sqref="K28">
    <cfRule type="expression" dxfId="12908" priority="390">
      <formula>$E28=""</formula>
    </cfRule>
  </conditionalFormatting>
  <conditionalFormatting sqref="K28">
    <cfRule type="expression" dxfId="12907" priority="389">
      <formula>$C28&lt;$E$3</formula>
    </cfRule>
  </conditionalFormatting>
  <conditionalFormatting sqref="K28">
    <cfRule type="expression" dxfId="12906" priority="388">
      <formula>$E28=""</formula>
    </cfRule>
  </conditionalFormatting>
  <conditionalFormatting sqref="K28">
    <cfRule type="expression" dxfId="12905" priority="387">
      <formula>$E28=""</formula>
    </cfRule>
  </conditionalFormatting>
  <conditionalFormatting sqref="K28">
    <cfRule type="expression" dxfId="12904" priority="386">
      <formula>$C28&lt;$E$3</formula>
    </cfRule>
  </conditionalFormatting>
  <conditionalFormatting sqref="K28">
    <cfRule type="expression" dxfId="12903" priority="385">
      <formula>$E28=""</formula>
    </cfRule>
  </conditionalFormatting>
  <conditionalFormatting sqref="K28">
    <cfRule type="expression" dxfId="12902" priority="384">
      <formula>$C28&lt;$E$3</formula>
    </cfRule>
  </conditionalFormatting>
  <conditionalFormatting sqref="K28">
    <cfRule type="expression" dxfId="12901" priority="383">
      <formula>$E28=""</formula>
    </cfRule>
  </conditionalFormatting>
  <conditionalFormatting sqref="K28">
    <cfRule type="expression" dxfId="12900" priority="381">
      <formula>$E28=""</formula>
    </cfRule>
  </conditionalFormatting>
  <conditionalFormatting sqref="K28">
    <cfRule type="expression" dxfId="12899" priority="376">
      <formula>$C28=$E$3</formula>
    </cfRule>
    <cfRule type="expression" dxfId="12898" priority="377">
      <formula>$C28&lt;$E$3</formula>
    </cfRule>
    <cfRule type="cellIs" dxfId="12897" priority="378" operator="equal">
      <formula>0</formula>
    </cfRule>
    <cfRule type="expression" dxfId="12896" priority="379">
      <formula>$C28&gt;$E$3</formula>
    </cfRule>
  </conditionalFormatting>
  <conditionalFormatting sqref="K28">
    <cfRule type="expression" dxfId="12895" priority="375">
      <formula>$C28&lt;$E$3</formula>
    </cfRule>
  </conditionalFormatting>
  <conditionalFormatting sqref="K28">
    <cfRule type="expression" dxfId="12894" priority="371">
      <formula>$C28=$E$3</formula>
    </cfRule>
    <cfRule type="expression" dxfId="12893" priority="372">
      <formula>$C28&lt;$E$3</formula>
    </cfRule>
    <cfRule type="cellIs" dxfId="12892" priority="373" operator="equal">
      <formula>0</formula>
    </cfRule>
    <cfRule type="expression" dxfId="12891" priority="374">
      <formula>$C28&gt;$E$3</formula>
    </cfRule>
  </conditionalFormatting>
  <conditionalFormatting sqref="K28">
    <cfRule type="expression" dxfId="12890" priority="370">
      <formula>$C28&lt;$E$3</formula>
    </cfRule>
  </conditionalFormatting>
  <conditionalFormatting sqref="K28">
    <cfRule type="expression" dxfId="12889" priority="366">
      <formula>$C28=$E$3</formula>
    </cfRule>
    <cfRule type="expression" dxfId="12888" priority="367">
      <formula>$C28&lt;$E$3</formula>
    </cfRule>
    <cfRule type="cellIs" dxfId="12887" priority="368" operator="equal">
      <formula>0</formula>
    </cfRule>
    <cfRule type="expression" dxfId="12886" priority="369">
      <formula>$C28&gt;$E$3</formula>
    </cfRule>
  </conditionalFormatting>
  <conditionalFormatting sqref="K28">
    <cfRule type="expression" dxfId="12885" priority="365">
      <formula>$C28&lt;$E$3</formula>
    </cfRule>
  </conditionalFormatting>
  <conditionalFormatting sqref="K28">
    <cfRule type="expression" dxfId="12884" priority="361">
      <formula>$C28=$E$3</formula>
    </cfRule>
    <cfRule type="expression" dxfId="12883" priority="362">
      <formula>$C28&lt;$E$3</formula>
    </cfRule>
    <cfRule type="cellIs" dxfId="12882" priority="363" operator="equal">
      <formula>0</formula>
    </cfRule>
    <cfRule type="expression" dxfId="12881" priority="364">
      <formula>$C28&gt;$E$3</formula>
    </cfRule>
  </conditionalFormatting>
  <conditionalFormatting sqref="K28">
    <cfRule type="expression" dxfId="12880" priority="360">
      <formula>$E28=""</formula>
    </cfRule>
  </conditionalFormatting>
  <conditionalFormatting sqref="K28">
    <cfRule type="expression" dxfId="12879" priority="359">
      <formula>$C28&lt;$E$3</formula>
    </cfRule>
  </conditionalFormatting>
  <conditionalFormatting sqref="K28">
    <cfRule type="expression" dxfId="12878" priority="358">
      <formula>$E28=""</formula>
    </cfRule>
  </conditionalFormatting>
  <conditionalFormatting sqref="K28">
    <cfRule type="expression" dxfId="12877" priority="357">
      <formula>$E28=""</formula>
    </cfRule>
  </conditionalFormatting>
  <conditionalFormatting sqref="K28">
    <cfRule type="expression" dxfId="12876" priority="356">
      <formula>$C28&lt;$E$3</formula>
    </cfRule>
  </conditionalFormatting>
  <conditionalFormatting sqref="K28">
    <cfRule type="expression" dxfId="12875" priority="355">
      <formula>$E28=""</formula>
    </cfRule>
  </conditionalFormatting>
  <conditionalFormatting sqref="K28">
    <cfRule type="expression" dxfId="12874" priority="354">
      <formula>$C28&lt;$E$3</formula>
    </cfRule>
  </conditionalFormatting>
  <conditionalFormatting sqref="K28">
    <cfRule type="expression" dxfId="12873" priority="353">
      <formula>$E28=""</formula>
    </cfRule>
  </conditionalFormatting>
  <conditionalFormatting sqref="K28">
    <cfRule type="expression" dxfId="12872" priority="351">
      <formula>$E28=""</formula>
    </cfRule>
  </conditionalFormatting>
  <conditionalFormatting sqref="K23:K27">
    <cfRule type="expression" dxfId="12871" priority="346">
      <formula>$C23=$E$3</formula>
    </cfRule>
    <cfRule type="expression" dxfId="12870" priority="347">
      <formula>$C23&lt;$E$3</formula>
    </cfRule>
    <cfRule type="cellIs" dxfId="12869" priority="348" operator="equal">
      <formula>0</formula>
    </cfRule>
    <cfRule type="expression" dxfId="12868" priority="349">
      <formula>$C23&gt;$E$3</formula>
    </cfRule>
  </conditionalFormatting>
  <conditionalFormatting sqref="K23:K27">
    <cfRule type="expression" dxfId="12867" priority="345">
      <formula>$C23&lt;$E$3</formula>
    </cfRule>
  </conditionalFormatting>
  <conditionalFormatting sqref="K23:K27">
    <cfRule type="expression" dxfId="12866" priority="341">
      <formula>$C23=$E$3</formula>
    </cfRule>
    <cfRule type="expression" dxfId="12865" priority="342">
      <formula>$C23&lt;$E$3</formula>
    </cfRule>
    <cfRule type="cellIs" dxfId="12864" priority="343" operator="equal">
      <formula>0</formula>
    </cfRule>
    <cfRule type="expression" dxfId="12863" priority="344">
      <formula>$C23&gt;$E$3</formula>
    </cfRule>
  </conditionalFormatting>
  <conditionalFormatting sqref="K23:K27">
    <cfRule type="expression" dxfId="12862" priority="340">
      <formula>$C23&lt;$E$3</formula>
    </cfRule>
  </conditionalFormatting>
  <conditionalFormatting sqref="K23:K27">
    <cfRule type="expression" dxfId="12861" priority="336">
      <formula>$C23=$E$3</formula>
    </cfRule>
    <cfRule type="expression" dxfId="12860" priority="337">
      <formula>$C23&lt;$E$3</formula>
    </cfRule>
    <cfRule type="cellIs" dxfId="12859" priority="338" operator="equal">
      <formula>0</formula>
    </cfRule>
    <cfRule type="expression" dxfId="12858" priority="339">
      <formula>$C23&gt;$E$3</formula>
    </cfRule>
  </conditionalFormatting>
  <conditionalFormatting sqref="K23:K27">
    <cfRule type="expression" dxfId="12857" priority="335">
      <formula>$C23&lt;$E$3</formula>
    </cfRule>
  </conditionalFormatting>
  <conditionalFormatting sqref="K23:K27">
    <cfRule type="expression" dxfId="12856" priority="331">
      <formula>$C23=$E$3</formula>
    </cfRule>
    <cfRule type="expression" dxfId="12855" priority="332">
      <formula>$C23&lt;$E$3</formula>
    </cfRule>
    <cfRule type="cellIs" dxfId="12854" priority="333" operator="equal">
      <formula>0</formula>
    </cfRule>
    <cfRule type="expression" dxfId="12853" priority="334">
      <formula>$C23&gt;$E$3</formula>
    </cfRule>
  </conditionalFormatting>
  <conditionalFormatting sqref="K23:K27">
    <cfRule type="expression" dxfId="12852" priority="330">
      <formula>$E23=""</formula>
    </cfRule>
  </conditionalFormatting>
  <conditionalFormatting sqref="K23:K27">
    <cfRule type="expression" dxfId="12851" priority="329">
      <formula>$C23&lt;$E$3</formula>
    </cfRule>
  </conditionalFormatting>
  <conditionalFormatting sqref="K23:K27">
    <cfRule type="expression" dxfId="12850" priority="328">
      <formula>$E23=""</formula>
    </cfRule>
  </conditionalFormatting>
  <conditionalFormatting sqref="K23:K27">
    <cfRule type="expression" dxfId="12849" priority="327">
      <formula>$E23=""</formula>
    </cfRule>
  </conditionalFormatting>
  <conditionalFormatting sqref="K23:K27">
    <cfRule type="expression" dxfId="12848" priority="326">
      <formula>$C23&lt;$E$3</formula>
    </cfRule>
  </conditionalFormatting>
  <conditionalFormatting sqref="K23:K27">
    <cfRule type="expression" dxfId="12847" priority="325">
      <formula>$E23=""</formula>
    </cfRule>
  </conditionalFormatting>
  <conditionalFormatting sqref="K23:K27">
    <cfRule type="expression" dxfId="12846" priority="324">
      <formula>$C23&lt;$E$3</formula>
    </cfRule>
  </conditionalFormatting>
  <conditionalFormatting sqref="K23:K27">
    <cfRule type="expression" dxfId="12845" priority="323">
      <formula>$E23=""</formula>
    </cfRule>
  </conditionalFormatting>
  <conditionalFormatting sqref="K23:K27">
    <cfRule type="expression" dxfId="12844" priority="321">
      <formula>$E23=""</formula>
    </cfRule>
  </conditionalFormatting>
  <conditionalFormatting sqref="K23:K27">
    <cfRule type="expression" dxfId="12843" priority="316">
      <formula>$C23=$E$3</formula>
    </cfRule>
    <cfRule type="expression" dxfId="12842" priority="317">
      <formula>$C23&lt;$E$3</formula>
    </cfRule>
    <cfRule type="cellIs" dxfId="12841" priority="318" operator="equal">
      <formula>0</formula>
    </cfRule>
    <cfRule type="expression" dxfId="12840" priority="319">
      <formula>$C23&gt;$E$3</formula>
    </cfRule>
  </conditionalFormatting>
  <conditionalFormatting sqref="K23:K27">
    <cfRule type="expression" dxfId="12839" priority="315">
      <formula>$C23&lt;$E$3</formula>
    </cfRule>
  </conditionalFormatting>
  <conditionalFormatting sqref="K23:K27">
    <cfRule type="expression" dxfId="12838" priority="311">
      <formula>$C23=$E$3</formula>
    </cfRule>
    <cfRule type="expression" dxfId="12837" priority="312">
      <formula>$C23&lt;$E$3</formula>
    </cfRule>
    <cfRule type="cellIs" dxfId="12836" priority="313" operator="equal">
      <formula>0</formula>
    </cfRule>
    <cfRule type="expression" dxfId="12835" priority="314">
      <formula>$C23&gt;$E$3</formula>
    </cfRule>
  </conditionalFormatting>
  <conditionalFormatting sqref="K23:K27">
    <cfRule type="expression" dxfId="12834" priority="310">
      <formula>$C23&lt;$E$3</formula>
    </cfRule>
  </conditionalFormatting>
  <conditionalFormatting sqref="K23:K27">
    <cfRule type="expression" dxfId="12833" priority="306">
      <formula>$C23=$E$3</formula>
    </cfRule>
    <cfRule type="expression" dxfId="12832" priority="307">
      <formula>$C23&lt;$E$3</formula>
    </cfRule>
    <cfRule type="cellIs" dxfId="12831" priority="308" operator="equal">
      <formula>0</formula>
    </cfRule>
    <cfRule type="expression" dxfId="12830" priority="309">
      <formula>$C23&gt;$E$3</formula>
    </cfRule>
  </conditionalFormatting>
  <conditionalFormatting sqref="K23:K27">
    <cfRule type="expression" dxfId="12829" priority="305">
      <formula>$C23&lt;$E$3</formula>
    </cfRule>
  </conditionalFormatting>
  <conditionalFormatting sqref="K23:K27">
    <cfRule type="expression" dxfId="12828" priority="301">
      <formula>$C23=$E$3</formula>
    </cfRule>
    <cfRule type="expression" dxfId="12827" priority="302">
      <formula>$C23&lt;$E$3</formula>
    </cfRule>
    <cfRule type="cellIs" dxfId="12826" priority="303" operator="equal">
      <formula>0</formula>
    </cfRule>
    <cfRule type="expression" dxfId="12825" priority="304">
      <formula>$C23&gt;$E$3</formula>
    </cfRule>
  </conditionalFormatting>
  <conditionalFormatting sqref="K23:K27">
    <cfRule type="expression" dxfId="12824" priority="300">
      <formula>$E23=""</formula>
    </cfRule>
  </conditionalFormatting>
  <conditionalFormatting sqref="K23:K27">
    <cfRule type="expression" dxfId="12823" priority="299">
      <formula>$C23&lt;$E$3</formula>
    </cfRule>
  </conditionalFormatting>
  <conditionalFormatting sqref="K23:K27">
    <cfRule type="expression" dxfId="12822" priority="298">
      <formula>$E23=""</formula>
    </cfRule>
  </conditionalFormatting>
  <conditionalFormatting sqref="K23:K27">
    <cfRule type="expression" dxfId="12821" priority="297">
      <formula>$E23=""</formula>
    </cfRule>
  </conditionalFormatting>
  <conditionalFormatting sqref="K23:K27">
    <cfRule type="expression" dxfId="12820" priority="296">
      <formula>$C23&lt;$E$3</formula>
    </cfRule>
  </conditionalFormatting>
  <conditionalFormatting sqref="K23:K27">
    <cfRule type="expression" dxfId="12819" priority="295">
      <formula>$E23=""</formula>
    </cfRule>
  </conditionalFormatting>
  <conditionalFormatting sqref="K23:K27">
    <cfRule type="expression" dxfId="12818" priority="294">
      <formula>$C23&lt;$E$3</formula>
    </cfRule>
  </conditionalFormatting>
  <conditionalFormatting sqref="K23:K27">
    <cfRule type="expression" dxfId="12817" priority="293">
      <formula>$E23=""</formula>
    </cfRule>
  </conditionalFormatting>
  <conditionalFormatting sqref="K23:K27">
    <cfRule type="expression" dxfId="12816" priority="291">
      <formula>$E23=""</formula>
    </cfRule>
  </conditionalFormatting>
  <conditionalFormatting sqref="K23:K29">
    <cfRule type="expression" dxfId="12815" priority="289">
      <formula>$C23&lt;$E$3</formula>
    </cfRule>
  </conditionalFormatting>
  <conditionalFormatting sqref="K23:K29">
    <cfRule type="expression" dxfId="12814" priority="286">
      <formula>$C23=$E$3</formula>
    </cfRule>
    <cfRule type="expression" dxfId="12813" priority="287">
      <formula>$C23&lt;$E$3</formula>
    </cfRule>
    <cfRule type="cellIs" dxfId="12812" priority="288" operator="equal">
      <formula>0</formula>
    </cfRule>
    <cfRule type="expression" dxfId="12811" priority="290">
      <formula>$C23&gt;$E$3</formula>
    </cfRule>
  </conditionalFormatting>
  <conditionalFormatting sqref="K23:K29">
    <cfRule type="expression" dxfId="12810" priority="285">
      <formula>$E23=""</formula>
    </cfRule>
  </conditionalFormatting>
  <conditionalFormatting sqref="K23:K29">
    <cfRule type="expression" dxfId="12809" priority="284">
      <formula>$E23=""</formula>
    </cfRule>
  </conditionalFormatting>
  <conditionalFormatting sqref="K23:K29">
    <cfRule type="expression" dxfId="12808" priority="283">
      <formula>$E23=""</formula>
    </cfRule>
  </conditionalFormatting>
  <conditionalFormatting sqref="K32:K38">
    <cfRule type="cellIs" dxfId="12807" priority="282" stopIfTrue="1" operator="lessThan">
      <formula>0</formula>
    </cfRule>
  </conditionalFormatting>
  <conditionalFormatting sqref="K32:K38">
    <cfRule type="expression" dxfId="12806" priority="280">
      <formula>$C32&lt;$E$3</formula>
    </cfRule>
  </conditionalFormatting>
  <conditionalFormatting sqref="K32:K38">
    <cfRule type="expression" dxfId="12805" priority="277">
      <formula>$C32=$E$3</formula>
    </cfRule>
    <cfRule type="expression" dxfId="12804" priority="278">
      <formula>$C32&lt;$E$3</formula>
    </cfRule>
    <cfRule type="cellIs" dxfId="12803" priority="279" operator="equal">
      <formula>0</formula>
    </cfRule>
    <cfRule type="expression" dxfId="12802" priority="281">
      <formula>$C32&gt;$E$3</formula>
    </cfRule>
  </conditionalFormatting>
  <conditionalFormatting sqref="K32:K38">
    <cfRule type="expression" dxfId="12801" priority="276">
      <formula>$E32=""</formula>
    </cfRule>
  </conditionalFormatting>
  <conditionalFormatting sqref="K32:K38">
    <cfRule type="expression" dxfId="12800" priority="275">
      <formula>$E32=""</formula>
    </cfRule>
  </conditionalFormatting>
  <conditionalFormatting sqref="K32:K38">
    <cfRule type="expression" dxfId="12799" priority="274">
      <formula>$E32=""</formula>
    </cfRule>
  </conditionalFormatting>
  <conditionalFormatting sqref="K37">
    <cfRule type="expression" dxfId="12798" priority="273">
      <formula>$C37&lt;$E$3</formula>
    </cfRule>
  </conditionalFormatting>
  <conditionalFormatting sqref="K37">
    <cfRule type="expression" dxfId="12797" priority="269">
      <formula>$C37=$E$3</formula>
    </cfRule>
    <cfRule type="expression" dxfId="12796" priority="270">
      <formula>$C37&lt;$E$3</formula>
    </cfRule>
    <cfRule type="cellIs" dxfId="12795" priority="271" operator="equal">
      <formula>0</formula>
    </cfRule>
    <cfRule type="expression" dxfId="12794" priority="272">
      <formula>$C37&gt;$E$3</formula>
    </cfRule>
  </conditionalFormatting>
  <conditionalFormatting sqref="K37">
    <cfRule type="expression" dxfId="12793" priority="268">
      <formula>$C37&lt;$E$3</formula>
    </cfRule>
  </conditionalFormatting>
  <conditionalFormatting sqref="K37">
    <cfRule type="expression" dxfId="12792" priority="264">
      <formula>$C37=$E$3</formula>
    </cfRule>
    <cfRule type="expression" dxfId="12791" priority="265">
      <formula>$C37&lt;$E$3</formula>
    </cfRule>
    <cfRule type="cellIs" dxfId="12790" priority="266" operator="equal">
      <formula>0</formula>
    </cfRule>
    <cfRule type="expression" dxfId="12789" priority="267">
      <formula>$C37&gt;$E$3</formula>
    </cfRule>
  </conditionalFormatting>
  <conditionalFormatting sqref="K37">
    <cfRule type="expression" dxfId="12788" priority="253">
      <formula>$E37=""</formula>
    </cfRule>
  </conditionalFormatting>
  <conditionalFormatting sqref="K37">
    <cfRule type="expression" dxfId="12787" priority="252">
      <formula>$C37&lt;$E$3</formula>
    </cfRule>
  </conditionalFormatting>
  <conditionalFormatting sqref="K37">
    <cfRule type="expression" dxfId="12786" priority="251">
      <formula>$E37=""</formula>
    </cfRule>
  </conditionalFormatting>
  <conditionalFormatting sqref="K37">
    <cfRule type="expression" dxfId="12785" priority="250">
      <formula>$E37=""</formula>
    </cfRule>
  </conditionalFormatting>
  <conditionalFormatting sqref="K37">
    <cfRule type="expression" dxfId="12784" priority="249">
      <formula>$C37&lt;$E$3</formula>
    </cfRule>
  </conditionalFormatting>
  <conditionalFormatting sqref="K37">
    <cfRule type="expression" dxfId="12783" priority="248">
      <formula>$E37=""</formula>
    </cfRule>
  </conditionalFormatting>
  <conditionalFormatting sqref="K37">
    <cfRule type="expression" dxfId="12782" priority="247">
      <formula>$C37&lt;$E$3</formula>
    </cfRule>
  </conditionalFormatting>
  <conditionalFormatting sqref="K37">
    <cfRule type="expression" dxfId="12781" priority="246">
      <formula>$E37=""</formula>
    </cfRule>
  </conditionalFormatting>
  <conditionalFormatting sqref="K37">
    <cfRule type="expression" dxfId="12780" priority="244">
      <formula>$E37=""</formula>
    </cfRule>
  </conditionalFormatting>
  <conditionalFormatting sqref="K37">
    <cfRule type="expression" dxfId="12779" priority="239">
      <formula>$C37=$E$3</formula>
    </cfRule>
    <cfRule type="expression" dxfId="12778" priority="240">
      <formula>$C37&lt;$E$3</formula>
    </cfRule>
    <cfRule type="cellIs" dxfId="12777" priority="241" operator="equal">
      <formula>0</formula>
    </cfRule>
    <cfRule type="expression" dxfId="12776" priority="242">
      <formula>$C37&gt;$E$3</formula>
    </cfRule>
  </conditionalFormatting>
  <conditionalFormatting sqref="K37">
    <cfRule type="expression" dxfId="12775" priority="238">
      <formula>$C37&lt;$E$3</formula>
    </cfRule>
  </conditionalFormatting>
  <conditionalFormatting sqref="K37">
    <cfRule type="expression" dxfId="12774" priority="234">
      <formula>$C37=$E$3</formula>
    </cfRule>
    <cfRule type="expression" dxfId="12773" priority="235">
      <formula>$C37&lt;$E$3</formula>
    </cfRule>
    <cfRule type="cellIs" dxfId="12772" priority="236" operator="equal">
      <formula>0</formula>
    </cfRule>
    <cfRule type="expression" dxfId="12771" priority="237">
      <formula>$C37&gt;$E$3</formula>
    </cfRule>
  </conditionalFormatting>
  <conditionalFormatting sqref="K37">
    <cfRule type="expression" dxfId="12770" priority="223">
      <formula>$E37=""</formula>
    </cfRule>
  </conditionalFormatting>
  <conditionalFormatting sqref="K37">
    <cfRule type="expression" dxfId="12769" priority="222">
      <formula>$C37&lt;$E$3</formula>
    </cfRule>
  </conditionalFormatting>
  <conditionalFormatting sqref="K37">
    <cfRule type="expression" dxfId="12768" priority="221">
      <formula>$E37=""</formula>
    </cfRule>
  </conditionalFormatting>
  <conditionalFormatting sqref="K37">
    <cfRule type="expression" dxfId="12767" priority="220">
      <formula>$E37=""</formula>
    </cfRule>
  </conditionalFormatting>
  <conditionalFormatting sqref="K37">
    <cfRule type="expression" dxfId="12766" priority="219">
      <formula>$C37&lt;$E$3</formula>
    </cfRule>
  </conditionalFormatting>
  <conditionalFormatting sqref="K37">
    <cfRule type="expression" dxfId="12765" priority="218">
      <formula>$E37=""</formula>
    </cfRule>
  </conditionalFormatting>
  <conditionalFormatting sqref="K37">
    <cfRule type="expression" dxfId="12764" priority="217">
      <formula>$C37&lt;$E$3</formula>
    </cfRule>
  </conditionalFormatting>
  <conditionalFormatting sqref="K37">
    <cfRule type="expression" dxfId="12763" priority="216">
      <formula>$E37=""</formula>
    </cfRule>
  </conditionalFormatting>
  <conditionalFormatting sqref="K37">
    <cfRule type="expression" dxfId="12762" priority="214">
      <formula>$E37=""</formula>
    </cfRule>
  </conditionalFormatting>
  <conditionalFormatting sqref="K32:K36">
    <cfRule type="expression" dxfId="12761" priority="209">
      <formula>$C32=$E$3</formula>
    </cfRule>
    <cfRule type="expression" dxfId="12760" priority="210">
      <formula>$C32&lt;$E$3</formula>
    </cfRule>
    <cfRule type="cellIs" dxfId="12759" priority="211" operator="equal">
      <formula>0</formula>
    </cfRule>
    <cfRule type="expression" dxfId="12758" priority="212">
      <formula>$C32&gt;$E$3</formula>
    </cfRule>
  </conditionalFormatting>
  <conditionalFormatting sqref="K32:K36">
    <cfRule type="expression" dxfId="12757" priority="208">
      <formula>$C32&lt;$E$3</formula>
    </cfRule>
  </conditionalFormatting>
  <conditionalFormatting sqref="K32:K36">
    <cfRule type="expression" dxfId="12756" priority="204">
      <formula>$C32=$E$3</formula>
    </cfRule>
    <cfRule type="expression" dxfId="12755" priority="205">
      <formula>$C32&lt;$E$3</formula>
    </cfRule>
    <cfRule type="cellIs" dxfId="12754" priority="206" operator="equal">
      <formula>0</formula>
    </cfRule>
    <cfRule type="expression" dxfId="12753" priority="207">
      <formula>$C32&gt;$E$3</formula>
    </cfRule>
  </conditionalFormatting>
  <conditionalFormatting sqref="K32:K36">
    <cfRule type="expression" dxfId="12752" priority="193">
      <formula>$E32=""</formula>
    </cfRule>
  </conditionalFormatting>
  <conditionalFormatting sqref="K32:K36">
    <cfRule type="expression" dxfId="12751" priority="192">
      <formula>$C32&lt;$E$3</formula>
    </cfRule>
  </conditionalFormatting>
  <conditionalFormatting sqref="K32:K36">
    <cfRule type="expression" dxfId="12750" priority="191">
      <formula>$E32=""</formula>
    </cfRule>
  </conditionalFormatting>
  <conditionalFormatting sqref="K32:K36">
    <cfRule type="expression" dxfId="12749" priority="190">
      <formula>$E32=""</formula>
    </cfRule>
  </conditionalFormatting>
  <conditionalFormatting sqref="K32:K36">
    <cfRule type="expression" dxfId="12748" priority="189">
      <formula>$C32&lt;$E$3</formula>
    </cfRule>
  </conditionalFormatting>
  <conditionalFormatting sqref="K32:K36">
    <cfRule type="expression" dxfId="12747" priority="188">
      <formula>$E32=""</formula>
    </cfRule>
  </conditionalFormatting>
  <conditionalFormatting sqref="K32:K36">
    <cfRule type="expression" dxfId="12746" priority="187">
      <formula>$C32&lt;$E$3</formula>
    </cfRule>
  </conditionalFormatting>
  <conditionalFormatting sqref="K32:K36">
    <cfRule type="expression" dxfId="12745" priority="186">
      <formula>$E32=""</formula>
    </cfRule>
  </conditionalFormatting>
  <conditionalFormatting sqref="K32:K36">
    <cfRule type="expression" dxfId="12744" priority="184">
      <formula>$E32=""</formula>
    </cfRule>
  </conditionalFormatting>
  <conditionalFormatting sqref="K32:K36">
    <cfRule type="expression" dxfId="12743" priority="179">
      <formula>$C32=$E$3</formula>
    </cfRule>
    <cfRule type="expression" dxfId="12742" priority="180">
      <formula>$C32&lt;$E$3</formula>
    </cfRule>
    <cfRule type="cellIs" dxfId="12741" priority="181" operator="equal">
      <formula>0</formula>
    </cfRule>
    <cfRule type="expression" dxfId="12740" priority="182">
      <formula>$C32&gt;$E$3</formula>
    </cfRule>
  </conditionalFormatting>
  <conditionalFormatting sqref="K32:K36">
    <cfRule type="expression" dxfId="12739" priority="178">
      <formula>$C32&lt;$E$3</formula>
    </cfRule>
  </conditionalFormatting>
  <conditionalFormatting sqref="K32:K36">
    <cfRule type="expression" dxfId="12738" priority="174">
      <formula>$C32=$E$3</formula>
    </cfRule>
    <cfRule type="expression" dxfId="12737" priority="175">
      <formula>$C32&lt;$E$3</formula>
    </cfRule>
    <cfRule type="cellIs" dxfId="12736" priority="176" operator="equal">
      <formula>0</formula>
    </cfRule>
    <cfRule type="expression" dxfId="12735" priority="177">
      <formula>$C32&gt;$E$3</formula>
    </cfRule>
  </conditionalFormatting>
  <conditionalFormatting sqref="K32:K36">
    <cfRule type="expression" dxfId="12734" priority="173">
      <formula>$C32&lt;$E$3</formula>
    </cfRule>
  </conditionalFormatting>
  <conditionalFormatting sqref="K32:K36">
    <cfRule type="expression" dxfId="12733" priority="169">
      <formula>$C32=$E$3</formula>
    </cfRule>
    <cfRule type="expression" dxfId="12732" priority="170">
      <formula>$C32&lt;$E$3</formula>
    </cfRule>
    <cfRule type="cellIs" dxfId="12731" priority="171" operator="equal">
      <formula>0</formula>
    </cfRule>
    <cfRule type="expression" dxfId="12730" priority="172">
      <formula>$C32&gt;$E$3</formula>
    </cfRule>
  </conditionalFormatting>
  <conditionalFormatting sqref="K32:K36">
    <cfRule type="expression" dxfId="12729" priority="168">
      <formula>$C32&lt;$E$3</formula>
    </cfRule>
  </conditionalFormatting>
  <conditionalFormatting sqref="K32:K36">
    <cfRule type="expression" dxfId="12728" priority="164">
      <formula>$C32=$E$3</formula>
    </cfRule>
    <cfRule type="expression" dxfId="12727" priority="165">
      <formula>$C32&lt;$E$3</formula>
    </cfRule>
    <cfRule type="cellIs" dxfId="12726" priority="166" operator="equal">
      <formula>0</formula>
    </cfRule>
    <cfRule type="expression" dxfId="12725" priority="167">
      <formula>$C32&gt;$E$3</formula>
    </cfRule>
  </conditionalFormatting>
  <conditionalFormatting sqref="K32:K36">
    <cfRule type="expression" dxfId="12724" priority="163">
      <formula>$E32=""</formula>
    </cfRule>
  </conditionalFormatting>
  <conditionalFormatting sqref="K32:K36">
    <cfRule type="expression" dxfId="12723" priority="162">
      <formula>$C32&lt;$E$3</formula>
    </cfRule>
  </conditionalFormatting>
  <conditionalFormatting sqref="K32:K36">
    <cfRule type="expression" dxfId="12722" priority="161">
      <formula>$E32=""</formula>
    </cfRule>
  </conditionalFormatting>
  <conditionalFormatting sqref="K32:K36">
    <cfRule type="expression" dxfId="12721" priority="160">
      <formula>$E32=""</formula>
    </cfRule>
  </conditionalFormatting>
  <conditionalFormatting sqref="K32:K36">
    <cfRule type="expression" dxfId="12720" priority="159">
      <formula>$C32&lt;$E$3</formula>
    </cfRule>
  </conditionalFormatting>
  <conditionalFormatting sqref="K32:K36">
    <cfRule type="expression" dxfId="12719" priority="158">
      <formula>$E32=""</formula>
    </cfRule>
  </conditionalFormatting>
  <conditionalFormatting sqref="K32:K36">
    <cfRule type="expression" dxfId="12718" priority="157">
      <formula>$C32&lt;$E$3</formula>
    </cfRule>
  </conditionalFormatting>
  <conditionalFormatting sqref="K32:K36">
    <cfRule type="expression" dxfId="12717" priority="156">
      <formula>$E32=""</formula>
    </cfRule>
  </conditionalFormatting>
  <conditionalFormatting sqref="K32:K36">
    <cfRule type="expression" dxfId="12716" priority="154">
      <formula>$E32=""</formula>
    </cfRule>
  </conditionalFormatting>
  <conditionalFormatting sqref="K32:K38">
    <cfRule type="expression" dxfId="12715" priority="152">
      <formula>$C32&lt;$E$3</formula>
    </cfRule>
  </conditionalFormatting>
  <conditionalFormatting sqref="K32:K38">
    <cfRule type="expression" dxfId="12714" priority="149">
      <formula>$C32=$E$3</formula>
    </cfRule>
    <cfRule type="expression" dxfId="12713" priority="150">
      <formula>$C32&lt;$E$3</formula>
    </cfRule>
    <cfRule type="cellIs" dxfId="12712" priority="151" operator="equal">
      <formula>0</formula>
    </cfRule>
    <cfRule type="expression" dxfId="12711" priority="153">
      <formula>$C32&gt;$E$3</formula>
    </cfRule>
  </conditionalFormatting>
  <conditionalFormatting sqref="K32:K38">
    <cfRule type="expression" dxfId="12710" priority="148">
      <formula>$E32=""</formula>
    </cfRule>
  </conditionalFormatting>
  <conditionalFormatting sqref="K32:K38">
    <cfRule type="expression" dxfId="12709" priority="147">
      <formula>$E32=""</formula>
    </cfRule>
  </conditionalFormatting>
  <conditionalFormatting sqref="K32:K38">
    <cfRule type="expression" dxfId="12708" priority="146">
      <formula>$E32=""</formula>
    </cfRule>
  </conditionalFormatting>
  <conditionalFormatting sqref="K41:K47">
    <cfRule type="cellIs" dxfId="12707" priority="145" stopIfTrue="1" operator="lessThan">
      <formula>0</formula>
    </cfRule>
  </conditionalFormatting>
  <conditionalFormatting sqref="K41:K47">
    <cfRule type="expression" dxfId="12706" priority="143">
      <formula>$C41&lt;$E$3</formula>
    </cfRule>
  </conditionalFormatting>
  <conditionalFormatting sqref="K41:K47">
    <cfRule type="expression" dxfId="12705" priority="140">
      <formula>$C41=$E$3</formula>
    </cfRule>
    <cfRule type="expression" dxfId="12704" priority="141">
      <formula>$C41&lt;$E$3</formula>
    </cfRule>
    <cfRule type="cellIs" dxfId="12703" priority="142" operator="equal">
      <formula>0</formula>
    </cfRule>
    <cfRule type="expression" dxfId="12702" priority="144">
      <formula>$C41&gt;$E$3</formula>
    </cfRule>
  </conditionalFormatting>
  <conditionalFormatting sqref="K41:K47">
    <cfRule type="expression" dxfId="12701" priority="139">
      <formula>$E41=""</formula>
    </cfRule>
  </conditionalFormatting>
  <conditionalFormatting sqref="K41:K47">
    <cfRule type="expression" dxfId="12700" priority="138">
      <formula>$E41=""</formula>
    </cfRule>
  </conditionalFormatting>
  <conditionalFormatting sqref="K41:K47">
    <cfRule type="expression" dxfId="12699" priority="137">
      <formula>$E41=""</formula>
    </cfRule>
  </conditionalFormatting>
  <conditionalFormatting sqref="K46">
    <cfRule type="expression" dxfId="12698" priority="136">
      <formula>$C46&lt;$E$3</formula>
    </cfRule>
  </conditionalFormatting>
  <conditionalFormatting sqref="K46">
    <cfRule type="expression" dxfId="12697" priority="132">
      <formula>$C46=$E$3</formula>
    </cfRule>
    <cfRule type="expression" dxfId="12696" priority="133">
      <formula>$C46&lt;$E$3</formula>
    </cfRule>
    <cfRule type="cellIs" dxfId="12695" priority="134" operator="equal">
      <formula>0</formula>
    </cfRule>
    <cfRule type="expression" dxfId="12694" priority="135">
      <formula>$C46&gt;$E$3</formula>
    </cfRule>
  </conditionalFormatting>
  <conditionalFormatting sqref="K46">
    <cfRule type="expression" dxfId="12693" priority="131">
      <formula>$C46&lt;$E$3</formula>
    </cfRule>
  </conditionalFormatting>
  <conditionalFormatting sqref="K46">
    <cfRule type="expression" dxfId="12692" priority="127">
      <formula>$C46=$E$3</formula>
    </cfRule>
    <cfRule type="expression" dxfId="12691" priority="128">
      <formula>$C46&lt;$E$3</formula>
    </cfRule>
    <cfRule type="cellIs" dxfId="12690" priority="129" operator="equal">
      <formula>0</formula>
    </cfRule>
    <cfRule type="expression" dxfId="12689" priority="130">
      <formula>$C46&gt;$E$3</formula>
    </cfRule>
  </conditionalFormatting>
  <conditionalFormatting sqref="K46">
    <cfRule type="expression" dxfId="12688" priority="126">
      <formula>$C46&lt;$E$3</formula>
    </cfRule>
  </conditionalFormatting>
  <conditionalFormatting sqref="K46">
    <cfRule type="expression" dxfId="12687" priority="122">
      <formula>$C46=$E$3</formula>
    </cfRule>
    <cfRule type="expression" dxfId="12686" priority="123">
      <formula>$C46&lt;$E$3</formula>
    </cfRule>
    <cfRule type="cellIs" dxfId="12685" priority="124" operator="equal">
      <formula>0</formula>
    </cfRule>
    <cfRule type="expression" dxfId="12684" priority="125">
      <formula>$C46&gt;$E$3</formula>
    </cfRule>
  </conditionalFormatting>
  <conditionalFormatting sqref="K46">
    <cfRule type="expression" dxfId="12683" priority="121">
      <formula>$C46&lt;$E$3</formula>
    </cfRule>
  </conditionalFormatting>
  <conditionalFormatting sqref="K46">
    <cfRule type="expression" dxfId="12682" priority="117">
      <formula>$C46=$E$3</formula>
    </cfRule>
    <cfRule type="expression" dxfId="12681" priority="118">
      <formula>$C46&lt;$E$3</formula>
    </cfRule>
    <cfRule type="cellIs" dxfId="12680" priority="119" operator="equal">
      <formula>0</formula>
    </cfRule>
    <cfRule type="expression" dxfId="12679" priority="120">
      <formula>$C46&gt;$E$3</formula>
    </cfRule>
  </conditionalFormatting>
  <conditionalFormatting sqref="K46">
    <cfRule type="expression" dxfId="12678" priority="116">
      <formula>$E46=""</formula>
    </cfRule>
  </conditionalFormatting>
  <conditionalFormatting sqref="K46">
    <cfRule type="expression" dxfId="12677" priority="115">
      <formula>$C46&lt;$E$3</formula>
    </cfRule>
  </conditionalFormatting>
  <conditionalFormatting sqref="K46">
    <cfRule type="expression" dxfId="12676" priority="114">
      <formula>$E46=""</formula>
    </cfRule>
  </conditionalFormatting>
  <conditionalFormatting sqref="K46">
    <cfRule type="expression" dxfId="12675" priority="113">
      <formula>$E46=""</formula>
    </cfRule>
  </conditionalFormatting>
  <conditionalFormatting sqref="K46">
    <cfRule type="expression" dxfId="12674" priority="112">
      <formula>$C46&lt;$E$3</formula>
    </cfRule>
  </conditionalFormatting>
  <conditionalFormatting sqref="K46">
    <cfRule type="expression" dxfId="12673" priority="111">
      <formula>$E46=""</formula>
    </cfRule>
  </conditionalFormatting>
  <conditionalFormatting sqref="K46">
    <cfRule type="expression" dxfId="12672" priority="110">
      <formula>$C46&lt;$E$3</formula>
    </cfRule>
  </conditionalFormatting>
  <conditionalFormatting sqref="K46">
    <cfRule type="expression" dxfId="12671" priority="109">
      <formula>$E46=""</formula>
    </cfRule>
  </conditionalFormatting>
  <conditionalFormatting sqref="K46">
    <cfRule type="expression" dxfId="12670" priority="107">
      <formula>$E46=""</formula>
    </cfRule>
  </conditionalFormatting>
  <conditionalFormatting sqref="K46">
    <cfRule type="expression" dxfId="12669" priority="102">
      <formula>$C46=$E$3</formula>
    </cfRule>
    <cfRule type="expression" dxfId="12668" priority="103">
      <formula>$C46&lt;$E$3</formula>
    </cfRule>
    <cfRule type="cellIs" dxfId="12667" priority="104" operator="equal">
      <formula>0</formula>
    </cfRule>
    <cfRule type="expression" dxfId="12666" priority="105">
      <formula>$C46&gt;$E$3</formula>
    </cfRule>
  </conditionalFormatting>
  <conditionalFormatting sqref="K46">
    <cfRule type="expression" dxfId="12665" priority="101">
      <formula>$C46&lt;$E$3</formula>
    </cfRule>
  </conditionalFormatting>
  <conditionalFormatting sqref="K46">
    <cfRule type="expression" dxfId="12664" priority="97">
      <formula>$C46=$E$3</formula>
    </cfRule>
    <cfRule type="expression" dxfId="12663" priority="98">
      <formula>$C46&lt;$E$3</formula>
    </cfRule>
    <cfRule type="cellIs" dxfId="12662" priority="99" operator="equal">
      <formula>0</formula>
    </cfRule>
    <cfRule type="expression" dxfId="12661" priority="100">
      <formula>$C46&gt;$E$3</formula>
    </cfRule>
  </conditionalFormatting>
  <conditionalFormatting sqref="K46">
    <cfRule type="expression" dxfId="12660" priority="96">
      <formula>$C46&lt;$E$3</formula>
    </cfRule>
  </conditionalFormatting>
  <conditionalFormatting sqref="K46">
    <cfRule type="expression" dxfId="12659" priority="92">
      <formula>$C46=$E$3</formula>
    </cfRule>
    <cfRule type="expression" dxfId="12658" priority="93">
      <formula>$C46&lt;$E$3</formula>
    </cfRule>
    <cfRule type="cellIs" dxfId="12657" priority="94" operator="equal">
      <formula>0</formula>
    </cfRule>
    <cfRule type="expression" dxfId="12656" priority="95">
      <formula>$C46&gt;$E$3</formula>
    </cfRule>
  </conditionalFormatting>
  <conditionalFormatting sqref="K46">
    <cfRule type="expression" dxfId="12655" priority="91">
      <formula>$C46&lt;$E$3</formula>
    </cfRule>
  </conditionalFormatting>
  <conditionalFormatting sqref="K46">
    <cfRule type="expression" dxfId="12654" priority="87">
      <formula>$C46=$E$3</formula>
    </cfRule>
    <cfRule type="expression" dxfId="12653" priority="88">
      <formula>$C46&lt;$E$3</formula>
    </cfRule>
    <cfRule type="cellIs" dxfId="12652" priority="89" operator="equal">
      <formula>0</formula>
    </cfRule>
    <cfRule type="expression" dxfId="12651" priority="90">
      <formula>$C46&gt;$E$3</formula>
    </cfRule>
  </conditionalFormatting>
  <conditionalFormatting sqref="K46">
    <cfRule type="expression" dxfId="12650" priority="86">
      <formula>$E46=""</formula>
    </cfRule>
  </conditionalFormatting>
  <conditionalFormatting sqref="K46">
    <cfRule type="expression" dxfId="12649" priority="85">
      <formula>$C46&lt;$E$3</formula>
    </cfRule>
  </conditionalFormatting>
  <conditionalFormatting sqref="K46">
    <cfRule type="expression" dxfId="12648" priority="84">
      <formula>$E46=""</formula>
    </cfRule>
  </conditionalFormatting>
  <conditionalFormatting sqref="K46">
    <cfRule type="expression" dxfId="12647" priority="83">
      <formula>$E46=""</formula>
    </cfRule>
  </conditionalFormatting>
  <conditionalFormatting sqref="K46">
    <cfRule type="expression" dxfId="12646" priority="82">
      <formula>$C46&lt;$E$3</formula>
    </cfRule>
  </conditionalFormatting>
  <conditionalFormatting sqref="K46">
    <cfRule type="expression" dxfId="12645" priority="81">
      <formula>$E46=""</formula>
    </cfRule>
  </conditionalFormatting>
  <conditionalFormatting sqref="K46">
    <cfRule type="expression" dxfId="12644" priority="80">
      <formula>$C46&lt;$E$3</formula>
    </cfRule>
  </conditionalFormatting>
  <conditionalFormatting sqref="K46">
    <cfRule type="expression" dxfId="12643" priority="79">
      <formula>$E46=""</formula>
    </cfRule>
  </conditionalFormatting>
  <conditionalFormatting sqref="K46">
    <cfRule type="expression" dxfId="12642" priority="77">
      <formula>$E46=""</formula>
    </cfRule>
  </conditionalFormatting>
  <conditionalFormatting sqref="K41:K45">
    <cfRule type="expression" dxfId="12641" priority="72">
      <formula>$C41=$E$3</formula>
    </cfRule>
    <cfRule type="expression" dxfId="12640" priority="73">
      <formula>$C41&lt;$E$3</formula>
    </cfRule>
    <cfRule type="cellIs" dxfId="12639" priority="74" operator="equal">
      <formula>0</formula>
    </cfRule>
    <cfRule type="expression" dxfId="12638" priority="75">
      <formula>$C41&gt;$E$3</formula>
    </cfRule>
  </conditionalFormatting>
  <conditionalFormatting sqref="K41:K45">
    <cfRule type="expression" dxfId="12637" priority="71">
      <formula>$C41&lt;$E$3</formula>
    </cfRule>
  </conditionalFormatting>
  <conditionalFormatting sqref="K41:K45">
    <cfRule type="expression" dxfId="12636" priority="67">
      <formula>$C41=$E$3</formula>
    </cfRule>
    <cfRule type="expression" dxfId="12635" priority="68">
      <formula>$C41&lt;$E$3</formula>
    </cfRule>
    <cfRule type="cellIs" dxfId="12634" priority="69" operator="equal">
      <formula>0</formula>
    </cfRule>
    <cfRule type="expression" dxfId="12633" priority="70">
      <formula>$C41&gt;$E$3</formula>
    </cfRule>
  </conditionalFormatting>
  <conditionalFormatting sqref="K41:K45">
    <cfRule type="expression" dxfId="12632" priority="66">
      <formula>$C41&lt;$E$3</formula>
    </cfRule>
  </conditionalFormatting>
  <conditionalFormatting sqref="K41:K45">
    <cfRule type="expression" dxfId="12631" priority="62">
      <formula>$C41=$E$3</formula>
    </cfRule>
    <cfRule type="expression" dxfId="12630" priority="63">
      <formula>$C41&lt;$E$3</formula>
    </cfRule>
    <cfRule type="cellIs" dxfId="12629" priority="64" operator="equal">
      <formula>0</formula>
    </cfRule>
    <cfRule type="expression" dxfId="12628" priority="65">
      <formula>$C41&gt;$E$3</formula>
    </cfRule>
  </conditionalFormatting>
  <conditionalFormatting sqref="K41:K45">
    <cfRule type="expression" dxfId="12627" priority="61">
      <formula>$C41&lt;$E$3</formula>
    </cfRule>
  </conditionalFormatting>
  <conditionalFormatting sqref="K41:K45">
    <cfRule type="expression" dxfId="12626" priority="57">
      <formula>$C41=$E$3</formula>
    </cfRule>
    <cfRule type="expression" dxfId="12625" priority="58">
      <formula>$C41&lt;$E$3</formula>
    </cfRule>
    <cfRule type="cellIs" dxfId="12624" priority="59" operator="equal">
      <formula>0</formula>
    </cfRule>
    <cfRule type="expression" dxfId="12623" priority="60">
      <formula>$C41&gt;$E$3</formula>
    </cfRule>
  </conditionalFormatting>
  <conditionalFormatting sqref="K41:K45">
    <cfRule type="expression" dxfId="12622" priority="56">
      <formula>$E41=""</formula>
    </cfRule>
  </conditionalFormatting>
  <conditionalFormatting sqref="K41:K45">
    <cfRule type="expression" dxfId="12621" priority="55">
      <formula>$C41&lt;$E$3</formula>
    </cfRule>
  </conditionalFormatting>
  <conditionalFormatting sqref="K41:K45">
    <cfRule type="expression" dxfId="12620" priority="54">
      <formula>$E41=""</formula>
    </cfRule>
  </conditionalFormatting>
  <conditionalFormatting sqref="K41:K45">
    <cfRule type="expression" dxfId="12619" priority="53">
      <formula>$E41=""</formula>
    </cfRule>
  </conditionalFormatting>
  <conditionalFormatting sqref="K41:K45">
    <cfRule type="expression" dxfId="12618" priority="52">
      <formula>$C41&lt;$E$3</formula>
    </cfRule>
  </conditionalFormatting>
  <conditionalFormatting sqref="K41:K45">
    <cfRule type="expression" dxfId="12617" priority="51">
      <formula>$E41=""</formula>
    </cfRule>
  </conditionalFormatting>
  <conditionalFormatting sqref="K41:K45">
    <cfRule type="expression" dxfId="12616" priority="50">
      <formula>$C41&lt;$E$3</formula>
    </cfRule>
  </conditionalFormatting>
  <conditionalFormatting sqref="K41:K45">
    <cfRule type="expression" dxfId="12615" priority="49">
      <formula>$E41=""</formula>
    </cfRule>
  </conditionalFormatting>
  <conditionalFormatting sqref="K41:K45">
    <cfRule type="expression" dxfId="12614" priority="47">
      <formula>$E41=""</formula>
    </cfRule>
  </conditionalFormatting>
  <conditionalFormatting sqref="K41:K45">
    <cfRule type="expression" dxfId="12613" priority="42">
      <formula>$C41=$E$3</formula>
    </cfRule>
    <cfRule type="expression" dxfId="12612" priority="43">
      <formula>$C41&lt;$E$3</formula>
    </cfRule>
    <cfRule type="cellIs" dxfId="12611" priority="44" operator="equal">
      <formula>0</formula>
    </cfRule>
    <cfRule type="expression" dxfId="12610" priority="45">
      <formula>$C41&gt;$E$3</formula>
    </cfRule>
  </conditionalFormatting>
  <conditionalFormatting sqref="K41:K45">
    <cfRule type="expression" dxfId="12609" priority="41">
      <formula>$C41&lt;$E$3</formula>
    </cfRule>
  </conditionalFormatting>
  <conditionalFormatting sqref="K41:K45">
    <cfRule type="expression" dxfId="12608" priority="37">
      <formula>$C41=$E$3</formula>
    </cfRule>
    <cfRule type="expression" dxfId="12607" priority="38">
      <formula>$C41&lt;$E$3</formula>
    </cfRule>
    <cfRule type="cellIs" dxfId="12606" priority="39" operator="equal">
      <formula>0</formula>
    </cfRule>
    <cfRule type="expression" dxfId="12605" priority="40">
      <formula>$C41&gt;$E$3</formula>
    </cfRule>
  </conditionalFormatting>
  <conditionalFormatting sqref="K41:K45">
    <cfRule type="expression" dxfId="12604" priority="36">
      <formula>$C41&lt;$E$3</formula>
    </cfRule>
  </conditionalFormatting>
  <conditionalFormatting sqref="K41:K45">
    <cfRule type="expression" dxfId="12603" priority="32">
      <formula>$C41=$E$3</formula>
    </cfRule>
    <cfRule type="expression" dxfId="12602" priority="33">
      <formula>$C41&lt;$E$3</formula>
    </cfRule>
    <cfRule type="cellIs" dxfId="12601" priority="34" operator="equal">
      <formula>0</formula>
    </cfRule>
    <cfRule type="expression" dxfId="12600" priority="35">
      <formula>$C41&gt;$E$3</formula>
    </cfRule>
  </conditionalFormatting>
  <conditionalFormatting sqref="K41:K45">
    <cfRule type="expression" dxfId="12599" priority="31">
      <formula>$C41&lt;$E$3</formula>
    </cfRule>
  </conditionalFormatting>
  <conditionalFormatting sqref="K41:K45">
    <cfRule type="expression" dxfId="12598" priority="27">
      <formula>$C41=$E$3</formula>
    </cfRule>
    <cfRule type="expression" dxfId="12597" priority="28">
      <formula>$C41&lt;$E$3</formula>
    </cfRule>
    <cfRule type="cellIs" dxfId="12596" priority="29" operator="equal">
      <formula>0</formula>
    </cfRule>
    <cfRule type="expression" dxfId="12595" priority="30">
      <formula>$C41&gt;$E$3</formula>
    </cfRule>
  </conditionalFormatting>
  <conditionalFormatting sqref="K41:K45">
    <cfRule type="expression" dxfId="12594" priority="26">
      <formula>$E41=""</formula>
    </cfRule>
  </conditionalFormatting>
  <conditionalFormatting sqref="K41:K45">
    <cfRule type="expression" dxfId="12593" priority="25">
      <formula>$C41&lt;$E$3</formula>
    </cfRule>
  </conditionalFormatting>
  <conditionalFormatting sqref="K41:K45">
    <cfRule type="expression" dxfId="12592" priority="24">
      <formula>$E41=""</formula>
    </cfRule>
  </conditionalFormatting>
  <conditionalFormatting sqref="K41:K45">
    <cfRule type="expression" dxfId="12591" priority="23">
      <formula>$E41=""</formula>
    </cfRule>
  </conditionalFormatting>
  <conditionalFormatting sqref="K41:K45">
    <cfRule type="expression" dxfId="12590" priority="22">
      <formula>$C41&lt;$E$3</formula>
    </cfRule>
  </conditionalFormatting>
  <conditionalFormatting sqref="K41:K45">
    <cfRule type="expression" dxfId="12589" priority="21">
      <formula>$E41=""</formula>
    </cfRule>
  </conditionalFormatting>
  <conditionalFormatting sqref="K41:K45">
    <cfRule type="expression" dxfId="12588" priority="20">
      <formula>$C41&lt;$E$3</formula>
    </cfRule>
  </conditionalFormatting>
  <conditionalFormatting sqref="K41:K45">
    <cfRule type="expression" dxfId="12587" priority="19">
      <formula>$E41=""</formula>
    </cfRule>
  </conditionalFormatting>
  <conditionalFormatting sqref="K41:K45">
    <cfRule type="expression" dxfId="12586" priority="17">
      <formula>$E41=""</formula>
    </cfRule>
  </conditionalFormatting>
  <conditionalFormatting sqref="K41:K47">
    <cfRule type="expression" dxfId="12585" priority="15">
      <formula>$C41&lt;$E$3</formula>
    </cfRule>
  </conditionalFormatting>
  <conditionalFormatting sqref="K41:K47">
    <cfRule type="expression" dxfId="12584" priority="12">
      <formula>$C41=$E$3</formula>
    </cfRule>
    <cfRule type="expression" dxfId="12583" priority="13">
      <formula>$C41&lt;$E$3</formula>
    </cfRule>
    <cfRule type="cellIs" dxfId="12582" priority="14" operator="equal">
      <formula>0</formula>
    </cfRule>
    <cfRule type="expression" dxfId="12581" priority="16">
      <formula>$C41&gt;$E$3</formula>
    </cfRule>
  </conditionalFormatting>
  <conditionalFormatting sqref="K41:K47">
    <cfRule type="expression" dxfId="12580" priority="11">
      <formula>$E41=""</formula>
    </cfRule>
  </conditionalFormatting>
  <conditionalFormatting sqref="K41:K47">
    <cfRule type="expression" dxfId="12579" priority="10">
      <formula>$E41=""</formula>
    </cfRule>
  </conditionalFormatting>
  <conditionalFormatting sqref="K41:K47">
    <cfRule type="expression" dxfId="12578" priority="9">
      <formula>$E41=""</formula>
    </cfRule>
  </conditionalFormatting>
  <conditionalFormatting sqref="N20 N18 N16">
    <cfRule type="cellIs" dxfId="12577" priority="8" stopIfTrue="1" operator="lessThan">
      <formula>0</formula>
    </cfRule>
  </conditionalFormatting>
  <conditionalFormatting sqref="N23 N27:N28">
    <cfRule type="cellIs" dxfId="12576" priority="7" stopIfTrue="1" operator="lessThan">
      <formula>0</formula>
    </cfRule>
  </conditionalFormatting>
  <conditionalFormatting sqref="N32:N34 N36 N38">
    <cfRule type="cellIs" dxfId="12575" priority="6" stopIfTrue="1" operator="lessThan">
      <formula>0</formula>
    </cfRule>
  </conditionalFormatting>
  <conditionalFormatting sqref="N41:N47">
    <cfRule type="cellIs" dxfId="12574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autoPageBreaks="0"/>
  </sheetPr>
  <dimension ref="A1:AF71"/>
  <sheetViews>
    <sheetView zoomScaleNormal="100" workbookViewId="0">
      <selection activeCell="F33" sqref="F33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8" customWidth="1"/>
    <col min="11" max="11" width="8.1640625" hidden="1" customWidth="1"/>
    <col min="12" max="12" width="7.66406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0" width="10.33203125" bestFit="1" customWidth="1"/>
    <col min="31" max="31" width="22.5" customWidth="1"/>
    <col min="33" max="33" width="10.6640625" bestFit="1" customWidth="1"/>
  </cols>
  <sheetData>
    <row r="1" spans="1:32" ht="53.25" customHeight="1" thickBot="1">
      <c r="A1" s="42">
        <v>4</v>
      </c>
      <c r="B1" s="40" t="s">
        <v>0</v>
      </c>
      <c r="C1" s="41"/>
      <c r="D1" s="41"/>
      <c r="E1" s="193" t="str">
        <f>VLOOKUP(A1,'MY STATS'!$B$32:$E$43,4)</f>
        <v>Apr.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168" t="s">
        <v>25</v>
      </c>
      <c r="P1" s="170" t="s">
        <v>26</v>
      </c>
      <c r="Q1" s="170" t="s">
        <v>26</v>
      </c>
      <c r="R1" s="181" t="s">
        <v>32</v>
      </c>
      <c r="S1" s="194" t="s">
        <v>115</v>
      </c>
      <c r="T1" s="181"/>
      <c r="U1" s="181"/>
      <c r="V1" s="181" t="s">
        <v>84</v>
      </c>
      <c r="W1" s="181" t="s">
        <v>85</v>
      </c>
      <c r="X1" s="170" t="s">
        <v>24</v>
      </c>
      <c r="Y1" s="170" t="s">
        <v>21</v>
      </c>
      <c r="Z1" s="170" t="s">
        <v>22</v>
      </c>
      <c r="AA1" s="182" t="s">
        <v>23</v>
      </c>
      <c r="AB1" s="79"/>
      <c r="AC1" s="79"/>
      <c r="AD1" s="79"/>
      <c r="AE1" s="76"/>
      <c r="AF1" s="76"/>
    </row>
    <row r="2" spans="1:32" ht="35" hidden="1" thickTop="1">
      <c r="A2" s="54" t="s">
        <v>64</v>
      </c>
      <c r="B2" s="21">
        <f>VLOOKUP(A1,'MY STATS'!$B$32:$G$43,3)</f>
        <v>45383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183"/>
      <c r="P2" s="79"/>
      <c r="Q2" s="79"/>
      <c r="R2" s="184">
        <f>'MY STATS'!A16</f>
        <v>3</v>
      </c>
      <c r="S2" s="184"/>
      <c r="T2" s="184"/>
      <c r="U2" s="184"/>
      <c r="V2" s="184"/>
      <c r="W2" s="184"/>
      <c r="X2" s="79"/>
      <c r="Y2" s="79"/>
      <c r="Z2" s="95"/>
      <c r="AA2" s="95"/>
      <c r="AB2" s="79"/>
      <c r="AC2" s="79"/>
      <c r="AD2" s="79"/>
      <c r="AE2" s="76"/>
      <c r="AF2" s="76"/>
    </row>
    <row r="3" spans="1:32" ht="17" hidden="1" thickBot="1">
      <c r="A3" s="75">
        <f>'MY STATS'!D44</f>
        <v>45658</v>
      </c>
      <c r="B3" s="21">
        <f>VLOOKUP(A1+1,'MY STATS'!$B$32:$G$44,3)-1</f>
        <v>45412</v>
      </c>
      <c r="C3" s="21">
        <f>VLOOKUP(A1,'MY STATS'!$B$32:$G$43,2)</f>
        <v>45383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183"/>
      <c r="P3" s="79"/>
      <c r="Q3" s="79"/>
      <c r="R3" s="184"/>
      <c r="S3" s="184"/>
      <c r="T3" s="184"/>
      <c r="U3" s="184"/>
      <c r="V3" s="184"/>
      <c r="W3" s="184"/>
      <c r="X3" s="79"/>
      <c r="Y3" s="79"/>
      <c r="Z3" s="95"/>
      <c r="AA3" s="95"/>
      <c r="AB3" s="79"/>
      <c r="AC3" s="79"/>
      <c r="AD3" s="79"/>
      <c r="AE3" s="76"/>
      <c r="AF3" s="76"/>
    </row>
    <row r="4" spans="1:32" ht="1" customHeight="1" thickTop="1" thickBot="1">
      <c r="A4"/>
      <c r="C4" s="28">
        <f>C3-1</f>
        <v>45382</v>
      </c>
      <c r="D4"/>
      <c r="O4" s="185"/>
      <c r="P4" s="172">
        <f t="shared" ref="P4:P11" si="0">H$56</f>
        <v>44767.805587464667</v>
      </c>
      <c r="Q4" s="128">
        <f>IF(R$2=3,P4,IF(R$2=2,P4*1.0936,IF(R$2=1,P4*0.000568181818*1.0936133,"")))</f>
        <v>44767.805587464667</v>
      </c>
      <c r="R4" s="169"/>
      <c r="S4" s="169"/>
      <c r="T4" s="169"/>
      <c r="U4" s="169"/>
      <c r="V4" s="169"/>
      <c r="W4" s="169"/>
      <c r="X4" s="172"/>
      <c r="Y4" s="172"/>
      <c r="Z4" s="171">
        <v>0</v>
      </c>
      <c r="AA4" s="95"/>
      <c r="AB4" s="79">
        <v>0</v>
      </c>
      <c r="AC4" s="79"/>
      <c r="AD4" s="79"/>
      <c r="AE4" s="76"/>
      <c r="AF4" s="76"/>
    </row>
    <row r="5" spans="1:32" ht="15.75" customHeight="1">
      <c r="A5" s="22"/>
      <c r="B5" s="19">
        <f>IF(B$2&gt;C5,0,C5)</f>
        <v>45383</v>
      </c>
      <c r="C5" s="28">
        <f>C3</f>
        <v>45383</v>
      </c>
      <c r="D5" s="20">
        <f t="shared" ref="D5:D51" ca="1" si="1">TODAY()-C5</f>
        <v>-92</v>
      </c>
      <c r="E5" s="91" t="str">
        <f>IF(B5=0,"","Monday")</f>
        <v>Monday</v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71">
        <f t="shared" ref="O5:O51" si="3">IF(B5=0,"",(F$3-G$3)/(A$3-B$2)+0.1)</f>
        <v>1492.4007982092387</v>
      </c>
      <c r="P5" s="172">
        <f t="shared" si="0"/>
        <v>44767.805587464667</v>
      </c>
      <c r="Q5" s="128">
        <f t="shared" ref="Q5:Q51" si="4">IF(R$2=3,P5,IF(R$2=2,P5*1.0936,IF(R$2=1,P5*0.000568181818*1.0936133,"")))</f>
        <v>44767.805587464667</v>
      </c>
      <c r="R5" s="128">
        <f t="shared" ref="R5:R11" si="5">IF(R$2=3,H5+G5/1.0936133+F5/0.0006213712,IF(R$2=2,H5*1.0936133+G5+F5/0.0005681818,IF(R$2=1,H5*0.0005681818*1.0936133+G5*0.0005681818+F5,"")))</f>
        <v>0</v>
      </c>
      <c r="S5" s="195" t="str">
        <f>IF(R5=0,"",R5*IF(L5&gt;0,1,0))</f>
        <v/>
      </c>
      <c r="T5" s="128"/>
      <c r="U5" s="128"/>
      <c r="V5" s="129" t="str">
        <f t="shared" ref="V5:V11" si="6">IF(L5="","",IF(R5=0,"",IF(B5=0,"",IF($R$2=3,R5/L5*60/1000,IF($R$2=2,R5/L5*60/1760,IF($R$2=1,R5/L5*60,""))))))</f>
        <v/>
      </c>
      <c r="W5" s="129" t="str">
        <f t="shared" ref="W5:W11" si="7">IF(R5=0,"",IF(L5="","",V5*L5))</f>
        <v/>
      </c>
      <c r="X5" s="171">
        <f t="shared" ref="X5:Z11" si="8">F5+X4</f>
        <v>0</v>
      </c>
      <c r="Y5" s="171">
        <f t="shared" si="8"/>
        <v>0</v>
      </c>
      <c r="Z5" s="171">
        <f t="shared" si="8"/>
        <v>0</v>
      </c>
      <c r="AA5" s="186">
        <f t="shared" ref="AA5:AA51" si="9">Z5/1000+Y5/1093.6133+X5/0.621371192</f>
        <v>0</v>
      </c>
      <c r="AB5" s="187">
        <f>R5</f>
        <v>0</v>
      </c>
      <c r="AC5" s="79"/>
      <c r="AD5" s="79"/>
      <c r="AE5" s="76"/>
      <c r="AF5" s="76"/>
    </row>
    <row r="6" spans="1:32">
      <c r="A6" s="23"/>
      <c r="B6" s="4">
        <f t="shared" ref="B6:B11" si="10">IF(B$2&gt;C6,0,C6)</f>
        <v>45384</v>
      </c>
      <c r="C6" s="29">
        <f>C3+1</f>
        <v>45384</v>
      </c>
      <c r="D6" s="6">
        <f t="shared" ca="1" si="1"/>
        <v>-93</v>
      </c>
      <c r="E6" s="90" t="str">
        <f>IF(B6=0,"","Tuesday")</f>
        <v>Tuesday</v>
      </c>
      <c r="F6" s="45"/>
      <c r="G6" s="46"/>
      <c r="H6" s="46"/>
      <c r="I6" s="151"/>
      <c r="J6" s="46"/>
      <c r="K6" s="152" t="str">
        <f t="shared" ref="K6:K11" si="11">IF(R6=0,"",IF(L6="","",J6))</f>
        <v/>
      </c>
      <c r="L6" s="46"/>
      <c r="M6" s="46" t="str">
        <f t="shared" si="2"/>
        <v/>
      </c>
      <c r="N6" s="301"/>
      <c r="O6" s="171">
        <f t="shared" si="3"/>
        <v>1492.4007982092387</v>
      </c>
      <c r="P6" s="172">
        <f t="shared" si="0"/>
        <v>44767.805587464667</v>
      </c>
      <c r="Q6" s="128">
        <f t="shared" si="4"/>
        <v>44767.805587464667</v>
      </c>
      <c r="R6" s="128">
        <f t="shared" si="5"/>
        <v>0</v>
      </c>
      <c r="S6" s="195" t="str">
        <f t="shared" ref="S6:S51" si="12">IF(R6=0,"",R6*IF(L6&gt;0,1,0))</f>
        <v/>
      </c>
      <c r="T6" s="128"/>
      <c r="U6" s="128"/>
      <c r="V6" s="129" t="str">
        <f t="shared" si="6"/>
        <v/>
      </c>
      <c r="W6" s="129" t="str">
        <f t="shared" si="7"/>
        <v/>
      </c>
      <c r="X6" s="171">
        <f t="shared" si="8"/>
        <v>0</v>
      </c>
      <c r="Y6" s="171">
        <f t="shared" si="8"/>
        <v>0</v>
      </c>
      <c r="Z6" s="171">
        <f t="shared" si="8"/>
        <v>0</v>
      </c>
      <c r="AA6" s="186">
        <f t="shared" si="9"/>
        <v>0</v>
      </c>
      <c r="AB6" s="173">
        <f t="shared" ref="AB6:AB51" si="13">AB5+R6</f>
        <v>0</v>
      </c>
      <c r="AC6" s="79"/>
      <c r="AD6" s="79"/>
      <c r="AE6" s="76"/>
      <c r="AF6" s="76"/>
    </row>
    <row r="7" spans="1:32">
      <c r="A7" s="23"/>
      <c r="B7" s="4">
        <f t="shared" si="10"/>
        <v>45385</v>
      </c>
      <c r="C7" s="29">
        <f>C3+2</f>
        <v>45385</v>
      </c>
      <c r="D7" s="6">
        <f t="shared" ca="1" si="1"/>
        <v>-94</v>
      </c>
      <c r="E7" s="90" t="str">
        <f>IF(B7=0,"","Wednesday")</f>
        <v>Wednesday</v>
      </c>
      <c r="F7" s="45"/>
      <c r="G7" s="46"/>
      <c r="H7" s="46"/>
      <c r="I7" s="151"/>
      <c r="J7" s="46"/>
      <c r="K7" s="152" t="str">
        <f t="shared" si="11"/>
        <v/>
      </c>
      <c r="L7" s="46"/>
      <c r="M7" s="46" t="str">
        <f t="shared" si="2"/>
        <v/>
      </c>
      <c r="N7" s="310"/>
      <c r="O7" s="171">
        <f t="shared" si="3"/>
        <v>1492.4007982092387</v>
      </c>
      <c r="P7" s="172">
        <f t="shared" si="0"/>
        <v>44767.805587464667</v>
      </c>
      <c r="Q7" s="128">
        <f t="shared" si="4"/>
        <v>44767.805587464667</v>
      </c>
      <c r="R7" s="128">
        <f t="shared" si="5"/>
        <v>0</v>
      </c>
      <c r="S7" s="195" t="str">
        <f t="shared" ref="S7:S25" si="14">IF(R7=0,"",R7*IF(L7&gt;0,1,0))</f>
        <v/>
      </c>
      <c r="T7" s="128"/>
      <c r="U7" s="128"/>
      <c r="V7" s="129" t="str">
        <f t="shared" si="6"/>
        <v/>
      </c>
      <c r="W7" s="129" t="str">
        <f t="shared" si="7"/>
        <v/>
      </c>
      <c r="X7" s="171">
        <f t="shared" si="8"/>
        <v>0</v>
      </c>
      <c r="Y7" s="171">
        <f t="shared" si="8"/>
        <v>0</v>
      </c>
      <c r="Z7" s="171">
        <f>H7+Z6</f>
        <v>0</v>
      </c>
      <c r="AA7" s="186">
        <f t="shared" si="9"/>
        <v>0</v>
      </c>
      <c r="AB7" s="173">
        <f t="shared" si="13"/>
        <v>0</v>
      </c>
      <c r="AC7" s="79"/>
      <c r="AD7" s="79"/>
      <c r="AE7" s="76"/>
      <c r="AF7" s="76"/>
    </row>
    <row r="8" spans="1:32">
      <c r="A8" s="23"/>
      <c r="B8" s="4">
        <f t="shared" si="10"/>
        <v>45386</v>
      </c>
      <c r="C8" s="29">
        <f>C3+3</f>
        <v>45386</v>
      </c>
      <c r="D8" s="6">
        <f t="shared" ca="1" si="1"/>
        <v>-95</v>
      </c>
      <c r="E8" s="90" t="str">
        <f>IF(B8=0,"","Thursday")</f>
        <v>Thursday</v>
      </c>
      <c r="F8" s="45"/>
      <c r="G8" s="46"/>
      <c r="H8" s="46"/>
      <c r="I8" s="151"/>
      <c r="J8" s="46"/>
      <c r="K8" s="152" t="str">
        <f t="shared" si="11"/>
        <v/>
      </c>
      <c r="L8" s="46"/>
      <c r="M8" s="46" t="str">
        <f t="shared" si="2"/>
        <v/>
      </c>
      <c r="N8" s="310"/>
      <c r="O8" s="171">
        <f t="shared" si="3"/>
        <v>1492.4007982092387</v>
      </c>
      <c r="P8" s="172">
        <f t="shared" si="0"/>
        <v>44767.805587464667</v>
      </c>
      <c r="Q8" s="128">
        <f t="shared" si="4"/>
        <v>44767.805587464667</v>
      </c>
      <c r="R8" s="128">
        <f t="shared" si="5"/>
        <v>0</v>
      </c>
      <c r="S8" s="195" t="str">
        <f t="shared" si="14"/>
        <v/>
      </c>
      <c r="T8" s="128"/>
      <c r="U8" s="128"/>
      <c r="V8" s="129" t="str">
        <f t="shared" si="6"/>
        <v/>
      </c>
      <c r="W8" s="129" t="str">
        <f t="shared" si="7"/>
        <v/>
      </c>
      <c r="X8" s="171">
        <f t="shared" si="8"/>
        <v>0</v>
      </c>
      <c r="Y8" s="171">
        <f t="shared" si="8"/>
        <v>0</v>
      </c>
      <c r="Z8" s="171">
        <f>H8+Z7</f>
        <v>0</v>
      </c>
      <c r="AA8" s="186">
        <f t="shared" si="9"/>
        <v>0</v>
      </c>
      <c r="AB8" s="173">
        <f t="shared" si="13"/>
        <v>0</v>
      </c>
      <c r="AC8" s="79"/>
      <c r="AD8" s="79"/>
      <c r="AE8" s="76"/>
      <c r="AF8" s="76"/>
    </row>
    <row r="9" spans="1:32">
      <c r="A9" s="23"/>
      <c r="B9" s="4">
        <f t="shared" si="10"/>
        <v>45387</v>
      </c>
      <c r="C9" s="29">
        <f>C3+4</f>
        <v>45387</v>
      </c>
      <c r="D9" s="6">
        <f t="shared" ca="1" si="1"/>
        <v>-96</v>
      </c>
      <c r="E9" s="90" t="str">
        <f>IF(B9=0,"","Friday")</f>
        <v>Friday</v>
      </c>
      <c r="F9" s="45"/>
      <c r="G9" s="46"/>
      <c r="H9" s="46"/>
      <c r="I9" s="151"/>
      <c r="J9" s="46"/>
      <c r="K9" s="152" t="str">
        <f t="shared" si="11"/>
        <v/>
      </c>
      <c r="L9" s="46"/>
      <c r="M9" s="46" t="str">
        <f t="shared" si="2"/>
        <v/>
      </c>
      <c r="N9" s="301"/>
      <c r="O9" s="171">
        <f t="shared" si="3"/>
        <v>1492.4007982092387</v>
      </c>
      <c r="P9" s="172">
        <f t="shared" si="0"/>
        <v>44767.805587464667</v>
      </c>
      <c r="Q9" s="128">
        <f t="shared" si="4"/>
        <v>44767.805587464667</v>
      </c>
      <c r="R9" s="128">
        <f t="shared" si="5"/>
        <v>0</v>
      </c>
      <c r="S9" s="195" t="str">
        <f t="shared" si="14"/>
        <v/>
      </c>
      <c r="T9" s="128"/>
      <c r="U9" s="128"/>
      <c r="V9" s="129" t="str">
        <f t="shared" si="6"/>
        <v/>
      </c>
      <c r="W9" s="129" t="str">
        <f t="shared" si="7"/>
        <v/>
      </c>
      <c r="X9" s="171">
        <f t="shared" si="8"/>
        <v>0</v>
      </c>
      <c r="Y9" s="171">
        <f t="shared" si="8"/>
        <v>0</v>
      </c>
      <c r="Z9" s="171">
        <f>H9+Z8</f>
        <v>0</v>
      </c>
      <c r="AA9" s="186">
        <f t="shared" si="9"/>
        <v>0</v>
      </c>
      <c r="AB9" s="173">
        <f t="shared" si="13"/>
        <v>0</v>
      </c>
      <c r="AC9" s="79"/>
      <c r="AD9" s="79"/>
      <c r="AE9" s="76"/>
      <c r="AF9" s="76"/>
    </row>
    <row r="10" spans="1:32">
      <c r="A10" s="23"/>
      <c r="B10" s="4">
        <f t="shared" si="10"/>
        <v>45388</v>
      </c>
      <c r="C10" s="29">
        <f>C3+5</f>
        <v>45388</v>
      </c>
      <c r="D10" s="6">
        <f t="shared" ca="1" si="1"/>
        <v>-97</v>
      </c>
      <c r="E10" s="90" t="str">
        <f>IF(B10=0,"","Saturday")</f>
        <v>Saturday</v>
      </c>
      <c r="F10" s="45"/>
      <c r="G10" s="46"/>
      <c r="H10" s="46"/>
      <c r="I10" s="151"/>
      <c r="J10" s="46"/>
      <c r="K10" s="152" t="str">
        <f t="shared" si="11"/>
        <v/>
      </c>
      <c r="L10" s="46"/>
      <c r="M10" s="46" t="str">
        <f t="shared" si="2"/>
        <v/>
      </c>
      <c r="N10" s="310"/>
      <c r="O10" s="171">
        <f t="shared" si="3"/>
        <v>1492.4007982092387</v>
      </c>
      <c r="P10" s="172">
        <f t="shared" si="0"/>
        <v>44767.805587464667</v>
      </c>
      <c r="Q10" s="128">
        <f t="shared" si="4"/>
        <v>44767.805587464667</v>
      </c>
      <c r="R10" s="128">
        <f t="shared" si="5"/>
        <v>0</v>
      </c>
      <c r="S10" s="195" t="str">
        <f t="shared" si="14"/>
        <v/>
      </c>
      <c r="T10" s="128"/>
      <c r="U10" s="128"/>
      <c r="V10" s="129" t="str">
        <f t="shared" si="6"/>
        <v/>
      </c>
      <c r="W10" s="129" t="str">
        <f t="shared" si="7"/>
        <v/>
      </c>
      <c r="X10" s="171">
        <f t="shared" si="8"/>
        <v>0</v>
      </c>
      <c r="Y10" s="171">
        <f t="shared" si="8"/>
        <v>0</v>
      </c>
      <c r="Z10" s="171">
        <f>H10+Z9</f>
        <v>0</v>
      </c>
      <c r="AA10" s="186">
        <f t="shared" si="9"/>
        <v>0</v>
      </c>
      <c r="AB10" s="173">
        <f t="shared" si="13"/>
        <v>0</v>
      </c>
      <c r="AC10" s="79"/>
      <c r="AD10" s="79"/>
      <c r="AE10" s="76"/>
      <c r="AF10" s="76"/>
    </row>
    <row r="11" spans="1:32" ht="15.75" customHeight="1" thickBot="1">
      <c r="A11" s="23"/>
      <c r="B11" s="43">
        <f t="shared" si="10"/>
        <v>45389</v>
      </c>
      <c r="C11" s="32">
        <f>C3+6</f>
        <v>45389</v>
      </c>
      <c r="D11" s="44">
        <f t="shared" ca="1" si="1"/>
        <v>-98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1"/>
        <v/>
      </c>
      <c r="L11" s="46"/>
      <c r="M11" s="46" t="str">
        <f t="shared" si="2"/>
        <v/>
      </c>
      <c r="N11" s="310"/>
      <c r="O11" s="171">
        <f t="shared" si="3"/>
        <v>1492.4007982092387</v>
      </c>
      <c r="P11" s="172">
        <f t="shared" si="0"/>
        <v>44767.805587464667</v>
      </c>
      <c r="Q11" s="128">
        <f t="shared" si="4"/>
        <v>44767.805587464667</v>
      </c>
      <c r="R11" s="128">
        <f t="shared" si="5"/>
        <v>0</v>
      </c>
      <c r="S11" s="195" t="str">
        <f t="shared" si="14"/>
        <v/>
      </c>
      <c r="T11" s="128"/>
      <c r="U11" s="128"/>
      <c r="V11" s="129" t="str">
        <f t="shared" si="6"/>
        <v/>
      </c>
      <c r="W11" s="129" t="str">
        <f t="shared" si="7"/>
        <v/>
      </c>
      <c r="X11" s="171">
        <f t="shared" si="8"/>
        <v>0</v>
      </c>
      <c r="Y11" s="171">
        <f t="shared" si="8"/>
        <v>0</v>
      </c>
      <c r="Z11" s="171">
        <f>H11+Z10</f>
        <v>0</v>
      </c>
      <c r="AA11" s="186">
        <f t="shared" si="9"/>
        <v>0</v>
      </c>
      <c r="AB11" s="173">
        <f t="shared" si="13"/>
        <v>0</v>
      </c>
      <c r="AC11" s="79"/>
      <c r="AD11" s="79"/>
      <c r="AE11" s="76"/>
      <c r="AF11" s="76"/>
    </row>
    <row r="12" spans="1:32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71" t="str">
        <f t="shared" si="3"/>
        <v/>
      </c>
      <c r="P12" s="172"/>
      <c r="Q12" s="128">
        <f t="shared" si="4"/>
        <v>0</v>
      </c>
      <c r="R12" s="188"/>
      <c r="S12" s="195" t="str">
        <f t="shared" si="14"/>
        <v/>
      </c>
      <c r="T12" s="188"/>
      <c r="U12" s="188"/>
      <c r="V12" s="188"/>
      <c r="W12" s="188"/>
      <c r="X12" s="172"/>
      <c r="Y12" s="172"/>
      <c r="Z12" s="95"/>
      <c r="AA12" s="186">
        <f t="shared" si="9"/>
        <v>0</v>
      </c>
      <c r="AB12" s="173">
        <f t="shared" si="13"/>
        <v>0</v>
      </c>
      <c r="AC12" s="79"/>
      <c r="AD12" s="79"/>
      <c r="AE12" s="76"/>
      <c r="AF12" s="76"/>
    </row>
    <row r="13" spans="1:32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6.4913319737287924</v>
      </c>
      <c r="G13" s="53">
        <f>H13*1.0936113</f>
        <v>11424.744639354503</v>
      </c>
      <c r="H13" s="103">
        <f>SUM($O5:$O11)</f>
        <v>10446.805587464671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71" t="str">
        <f t="shared" si="3"/>
        <v/>
      </c>
      <c r="P13" s="172"/>
      <c r="Q13" s="128">
        <f t="shared" si="4"/>
        <v>0</v>
      </c>
      <c r="R13" s="189"/>
      <c r="S13" s="195" t="str">
        <f t="shared" si="14"/>
        <v/>
      </c>
      <c r="T13" s="189"/>
      <c r="U13" s="189"/>
      <c r="V13" s="189"/>
      <c r="W13" s="189"/>
      <c r="X13" s="172"/>
      <c r="Y13" s="172"/>
      <c r="Z13" s="95"/>
      <c r="AA13" s="186">
        <f t="shared" si="9"/>
        <v>0</v>
      </c>
      <c r="AB13" s="173">
        <f t="shared" si="13"/>
        <v>0</v>
      </c>
      <c r="AC13" s="79"/>
      <c r="AD13" s="79"/>
      <c r="AE13" s="76"/>
      <c r="AF13" s="76"/>
    </row>
    <row r="14" spans="1:32" ht="17" thickTop="1">
      <c r="A14" s="1"/>
      <c r="B14" s="47">
        <f t="shared" ref="B14:B20" si="15">IF(B$2&gt;C14,0,C14)</f>
        <v>45390</v>
      </c>
      <c r="C14" s="31">
        <f>C11+1</f>
        <v>45390</v>
      </c>
      <c r="D14" s="18">
        <f t="shared" ca="1" si="1"/>
        <v>-99</v>
      </c>
      <c r="E14" s="94" t="s">
        <v>1</v>
      </c>
      <c r="F14" s="45"/>
      <c r="G14" s="46"/>
      <c r="H14" s="46"/>
      <c r="I14" s="109"/>
      <c r="J14" s="101"/>
      <c r="K14" s="152" t="str">
        <f t="shared" ref="K14:K20" si="16">IF(R14=0,"",IF(L14="","",J14))</f>
        <v/>
      </c>
      <c r="L14" s="101"/>
      <c r="M14" s="46" t="str">
        <f t="shared" ref="M14:M20" si="17">IF(R14=0,"",IF(J14="","",L14))</f>
        <v/>
      </c>
      <c r="N14" s="310"/>
      <c r="O14" s="171">
        <f t="shared" si="3"/>
        <v>1492.4007982092387</v>
      </c>
      <c r="P14" s="172">
        <f t="shared" ref="P14:P20" si="18">H$56</f>
        <v>44767.805587464667</v>
      </c>
      <c r="Q14" s="128">
        <f t="shared" si="4"/>
        <v>44767.805587464667</v>
      </c>
      <c r="R14" s="128">
        <f t="shared" ref="R14:R20" si="19">IF(R$2=3,H14+G14/1.0936133+F14/0.0006213712,IF(R$2=2,H14*1.0936133+G14+F14/0.0005681818,IF(R$2=1,H14*0.0005681818*1.0936133+G14*0.0005681818+F14,"")))</f>
        <v>0</v>
      </c>
      <c r="S14" s="195" t="str">
        <f t="shared" si="14"/>
        <v/>
      </c>
      <c r="T14" s="128"/>
      <c r="U14" s="128"/>
      <c r="V14" s="129" t="str">
        <f t="shared" ref="V14:V20" si="20">IF(L14="","",IF(R14=0,"",IF(B14=0,"",IF($R$2=3,R14/L14*60/1000,IF($R$2=2,R14/L14*60/1760,IF($R$2=1,R14/L14*60,""))))))</f>
        <v/>
      </c>
      <c r="W14" s="129" t="str">
        <f t="shared" ref="W14:W20" si="21">IF(R14=0,"",IF(L14="","",V14*L14))</f>
        <v/>
      </c>
      <c r="X14" s="171">
        <f>F14+X11</f>
        <v>0</v>
      </c>
      <c r="Y14" s="171">
        <f>G14+Y11</f>
        <v>0</v>
      </c>
      <c r="Z14" s="171">
        <f>H14+Z11</f>
        <v>0</v>
      </c>
      <c r="AA14" s="186">
        <f t="shared" si="9"/>
        <v>0</v>
      </c>
      <c r="AB14" s="173">
        <f t="shared" si="13"/>
        <v>0</v>
      </c>
      <c r="AC14" s="79"/>
      <c r="AD14" s="79"/>
      <c r="AE14" s="76"/>
      <c r="AF14" s="76"/>
    </row>
    <row r="15" spans="1:32">
      <c r="A15" s="1"/>
      <c r="B15" s="4">
        <f t="shared" si="15"/>
        <v>45391</v>
      </c>
      <c r="C15" s="29">
        <f t="shared" ref="C15:C20" si="22">C14+1</f>
        <v>45391</v>
      </c>
      <c r="D15" s="6">
        <f t="shared" ca="1" si="1"/>
        <v>-100</v>
      </c>
      <c r="E15" s="90" t="s">
        <v>2</v>
      </c>
      <c r="F15" s="45"/>
      <c r="G15" s="46"/>
      <c r="H15" s="46"/>
      <c r="I15" s="151"/>
      <c r="J15" s="46"/>
      <c r="K15" s="152" t="str">
        <f t="shared" si="16"/>
        <v/>
      </c>
      <c r="L15" s="46"/>
      <c r="M15" s="46" t="str">
        <f t="shared" si="17"/>
        <v/>
      </c>
      <c r="N15" s="310"/>
      <c r="O15" s="171">
        <f t="shared" si="3"/>
        <v>1492.4007982092387</v>
      </c>
      <c r="P15" s="172">
        <f t="shared" si="18"/>
        <v>44767.805587464667</v>
      </c>
      <c r="Q15" s="128">
        <f t="shared" si="4"/>
        <v>44767.805587464667</v>
      </c>
      <c r="R15" s="128">
        <f t="shared" si="19"/>
        <v>0</v>
      </c>
      <c r="S15" s="195" t="str">
        <f t="shared" si="14"/>
        <v/>
      </c>
      <c r="T15" s="128"/>
      <c r="U15" s="128"/>
      <c r="V15" s="129" t="str">
        <f t="shared" si="20"/>
        <v/>
      </c>
      <c r="W15" s="129" t="str">
        <f t="shared" si="21"/>
        <v/>
      </c>
      <c r="X15" s="171">
        <f t="shared" ref="X15:Y20" si="23">F15+X14</f>
        <v>0</v>
      </c>
      <c r="Y15" s="171">
        <f t="shared" si="23"/>
        <v>0</v>
      </c>
      <c r="Z15" s="171">
        <f t="shared" ref="Z15:Z20" si="24">H15+Z14</f>
        <v>0</v>
      </c>
      <c r="AA15" s="186">
        <f t="shared" si="9"/>
        <v>0</v>
      </c>
      <c r="AB15" s="173">
        <f t="shared" si="13"/>
        <v>0</v>
      </c>
      <c r="AC15" s="79"/>
      <c r="AD15" s="79"/>
      <c r="AE15" s="76"/>
      <c r="AF15" s="76"/>
    </row>
    <row r="16" spans="1:32">
      <c r="A16" s="1"/>
      <c r="B16" s="4">
        <f t="shared" si="15"/>
        <v>45392</v>
      </c>
      <c r="C16" s="29">
        <f t="shared" si="22"/>
        <v>45392</v>
      </c>
      <c r="D16" s="6">
        <f t="shared" ca="1" si="1"/>
        <v>-101</v>
      </c>
      <c r="E16" s="90" t="s">
        <v>3</v>
      </c>
      <c r="F16" s="45"/>
      <c r="G16" s="46"/>
      <c r="H16" s="46"/>
      <c r="I16" s="151"/>
      <c r="J16" s="46"/>
      <c r="K16" s="152" t="str">
        <f t="shared" si="16"/>
        <v/>
      </c>
      <c r="L16" s="46"/>
      <c r="M16" s="46" t="str">
        <f t="shared" si="17"/>
        <v/>
      </c>
      <c r="N16" s="301"/>
      <c r="O16" s="171">
        <f t="shared" si="3"/>
        <v>1492.4007982092387</v>
      </c>
      <c r="P16" s="172">
        <f t="shared" si="18"/>
        <v>44767.805587464667</v>
      </c>
      <c r="Q16" s="128">
        <f t="shared" si="4"/>
        <v>44767.805587464667</v>
      </c>
      <c r="R16" s="128">
        <f t="shared" si="19"/>
        <v>0</v>
      </c>
      <c r="S16" s="195" t="str">
        <f t="shared" si="14"/>
        <v/>
      </c>
      <c r="T16" s="128"/>
      <c r="U16" s="128"/>
      <c r="V16" s="129" t="str">
        <f t="shared" si="20"/>
        <v/>
      </c>
      <c r="W16" s="129" t="str">
        <f t="shared" si="21"/>
        <v/>
      </c>
      <c r="X16" s="171">
        <f t="shared" si="23"/>
        <v>0</v>
      </c>
      <c r="Y16" s="171">
        <f t="shared" si="23"/>
        <v>0</v>
      </c>
      <c r="Z16" s="171">
        <f t="shared" si="24"/>
        <v>0</v>
      </c>
      <c r="AA16" s="186">
        <f t="shared" si="9"/>
        <v>0</v>
      </c>
      <c r="AB16" s="173">
        <f t="shared" si="13"/>
        <v>0</v>
      </c>
      <c r="AC16" s="79"/>
      <c r="AD16" s="79"/>
      <c r="AE16" s="76"/>
      <c r="AF16" s="76"/>
    </row>
    <row r="17" spans="1:32">
      <c r="A17" s="1"/>
      <c r="B17" s="4">
        <f t="shared" si="15"/>
        <v>45393</v>
      </c>
      <c r="C17" s="29">
        <f t="shared" si="22"/>
        <v>45393</v>
      </c>
      <c r="D17" s="6">
        <f t="shared" ca="1" si="1"/>
        <v>-102</v>
      </c>
      <c r="E17" s="90" t="s">
        <v>4</v>
      </c>
      <c r="F17" s="45"/>
      <c r="G17" s="46"/>
      <c r="H17" s="46"/>
      <c r="I17" s="151"/>
      <c r="J17" s="46"/>
      <c r="K17" s="152" t="str">
        <f t="shared" si="16"/>
        <v/>
      </c>
      <c r="L17" s="46"/>
      <c r="M17" s="46" t="str">
        <f t="shared" si="17"/>
        <v/>
      </c>
      <c r="N17" s="310"/>
      <c r="O17" s="171">
        <f t="shared" si="3"/>
        <v>1492.4007982092387</v>
      </c>
      <c r="P17" s="172">
        <f t="shared" si="18"/>
        <v>44767.805587464667</v>
      </c>
      <c r="Q17" s="128">
        <f t="shared" si="4"/>
        <v>44767.805587464667</v>
      </c>
      <c r="R17" s="128">
        <f t="shared" si="19"/>
        <v>0</v>
      </c>
      <c r="S17" s="195" t="str">
        <f t="shared" si="14"/>
        <v/>
      </c>
      <c r="T17" s="128"/>
      <c r="U17" s="128"/>
      <c r="V17" s="129" t="str">
        <f t="shared" si="20"/>
        <v/>
      </c>
      <c r="W17" s="129" t="str">
        <f t="shared" si="21"/>
        <v/>
      </c>
      <c r="X17" s="171">
        <f t="shared" si="23"/>
        <v>0</v>
      </c>
      <c r="Y17" s="171">
        <f t="shared" si="23"/>
        <v>0</v>
      </c>
      <c r="Z17" s="171">
        <f t="shared" si="24"/>
        <v>0</v>
      </c>
      <c r="AA17" s="186">
        <f t="shared" si="9"/>
        <v>0</v>
      </c>
      <c r="AB17" s="173">
        <f t="shared" si="13"/>
        <v>0</v>
      </c>
      <c r="AC17" s="79"/>
      <c r="AD17" s="79"/>
      <c r="AE17" s="76"/>
      <c r="AF17" s="76"/>
    </row>
    <row r="18" spans="1:32">
      <c r="A18" s="1"/>
      <c r="B18" s="4">
        <f t="shared" si="15"/>
        <v>45394</v>
      </c>
      <c r="C18" s="29">
        <f t="shared" si="22"/>
        <v>45394</v>
      </c>
      <c r="D18" s="6">
        <f t="shared" ca="1" si="1"/>
        <v>-103</v>
      </c>
      <c r="E18" s="90" t="s">
        <v>5</v>
      </c>
      <c r="F18" s="45"/>
      <c r="G18" s="46"/>
      <c r="H18" s="46"/>
      <c r="I18" s="151"/>
      <c r="J18" s="46"/>
      <c r="K18" s="152" t="str">
        <f t="shared" si="16"/>
        <v/>
      </c>
      <c r="L18" s="46"/>
      <c r="M18" s="46" t="str">
        <f t="shared" si="17"/>
        <v/>
      </c>
      <c r="N18" s="301"/>
      <c r="O18" s="171">
        <f t="shared" si="3"/>
        <v>1492.4007982092387</v>
      </c>
      <c r="P18" s="172">
        <f t="shared" si="18"/>
        <v>44767.805587464667</v>
      </c>
      <c r="Q18" s="128">
        <f t="shared" si="4"/>
        <v>44767.805587464667</v>
      </c>
      <c r="R18" s="128">
        <f t="shared" si="19"/>
        <v>0</v>
      </c>
      <c r="S18" s="195" t="str">
        <f t="shared" si="14"/>
        <v/>
      </c>
      <c r="T18" s="128"/>
      <c r="U18" s="128"/>
      <c r="V18" s="129" t="str">
        <f t="shared" si="20"/>
        <v/>
      </c>
      <c r="W18" s="129" t="str">
        <f t="shared" si="21"/>
        <v/>
      </c>
      <c r="X18" s="171">
        <f t="shared" si="23"/>
        <v>0</v>
      </c>
      <c r="Y18" s="171">
        <f t="shared" si="23"/>
        <v>0</v>
      </c>
      <c r="Z18" s="171">
        <f t="shared" si="24"/>
        <v>0</v>
      </c>
      <c r="AA18" s="186">
        <f t="shared" si="9"/>
        <v>0</v>
      </c>
      <c r="AB18" s="173">
        <f t="shared" si="13"/>
        <v>0</v>
      </c>
      <c r="AC18" s="79"/>
      <c r="AD18" s="79"/>
      <c r="AE18" s="76"/>
      <c r="AF18" s="76"/>
    </row>
    <row r="19" spans="1:32">
      <c r="A19" s="1"/>
      <c r="B19" s="4">
        <f t="shared" si="15"/>
        <v>45395</v>
      </c>
      <c r="C19" s="29">
        <f t="shared" si="22"/>
        <v>45395</v>
      </c>
      <c r="D19" s="6">
        <f t="shared" ca="1" si="1"/>
        <v>-104</v>
      </c>
      <c r="E19" s="90" t="s">
        <v>6</v>
      </c>
      <c r="F19" s="45"/>
      <c r="G19" s="46"/>
      <c r="H19" s="46"/>
      <c r="I19" s="151"/>
      <c r="J19" s="46"/>
      <c r="K19" s="152" t="str">
        <f t="shared" si="16"/>
        <v/>
      </c>
      <c r="L19" s="46"/>
      <c r="M19" s="46" t="str">
        <f t="shared" si="17"/>
        <v/>
      </c>
      <c r="N19" s="310"/>
      <c r="O19" s="171">
        <f t="shared" si="3"/>
        <v>1492.4007982092387</v>
      </c>
      <c r="P19" s="172">
        <f t="shared" si="18"/>
        <v>44767.805587464667</v>
      </c>
      <c r="Q19" s="128">
        <f t="shared" si="4"/>
        <v>44767.805587464667</v>
      </c>
      <c r="R19" s="128">
        <f t="shared" si="19"/>
        <v>0</v>
      </c>
      <c r="S19" s="195" t="str">
        <f t="shared" si="14"/>
        <v/>
      </c>
      <c r="T19" s="128"/>
      <c r="U19" s="128"/>
      <c r="V19" s="129" t="str">
        <f t="shared" si="20"/>
        <v/>
      </c>
      <c r="W19" s="129" t="str">
        <f t="shared" si="21"/>
        <v/>
      </c>
      <c r="X19" s="171">
        <f t="shared" si="23"/>
        <v>0</v>
      </c>
      <c r="Y19" s="171">
        <f t="shared" si="23"/>
        <v>0</v>
      </c>
      <c r="Z19" s="171">
        <f t="shared" si="24"/>
        <v>0</v>
      </c>
      <c r="AA19" s="186">
        <f t="shared" si="9"/>
        <v>0</v>
      </c>
      <c r="AB19" s="173">
        <f t="shared" si="13"/>
        <v>0</v>
      </c>
      <c r="AC19" s="79"/>
      <c r="AD19" s="79"/>
      <c r="AE19" s="76"/>
      <c r="AF19" s="76"/>
    </row>
    <row r="20" spans="1:32" ht="17" thickBot="1">
      <c r="A20" s="1"/>
      <c r="B20" s="43">
        <f t="shared" si="15"/>
        <v>45396</v>
      </c>
      <c r="C20" s="32">
        <f t="shared" si="22"/>
        <v>45396</v>
      </c>
      <c r="D20" s="44">
        <f t="shared" ca="1" si="1"/>
        <v>-105</v>
      </c>
      <c r="E20" s="93" t="s">
        <v>7</v>
      </c>
      <c r="F20" s="45"/>
      <c r="G20" s="46"/>
      <c r="H20" s="46"/>
      <c r="I20" s="151"/>
      <c r="J20" s="46"/>
      <c r="K20" s="152" t="str">
        <f t="shared" si="16"/>
        <v/>
      </c>
      <c r="L20" s="46"/>
      <c r="M20" s="46" t="str">
        <f t="shared" si="17"/>
        <v/>
      </c>
      <c r="N20" s="303"/>
      <c r="O20" s="171">
        <f t="shared" si="3"/>
        <v>1492.4007982092387</v>
      </c>
      <c r="P20" s="172">
        <f t="shared" si="18"/>
        <v>44767.805587464667</v>
      </c>
      <c r="Q20" s="128">
        <f t="shared" si="4"/>
        <v>44767.805587464667</v>
      </c>
      <c r="R20" s="128">
        <f t="shared" si="19"/>
        <v>0</v>
      </c>
      <c r="S20" s="195" t="str">
        <f t="shared" si="14"/>
        <v/>
      </c>
      <c r="T20" s="128"/>
      <c r="U20" s="128"/>
      <c r="V20" s="129" t="str">
        <f t="shared" si="20"/>
        <v/>
      </c>
      <c r="W20" s="129" t="str">
        <f t="shared" si="21"/>
        <v/>
      </c>
      <c r="X20" s="171">
        <f t="shared" si="23"/>
        <v>0</v>
      </c>
      <c r="Y20" s="171">
        <f t="shared" si="23"/>
        <v>0</v>
      </c>
      <c r="Z20" s="171">
        <f t="shared" si="24"/>
        <v>0</v>
      </c>
      <c r="AA20" s="186">
        <f t="shared" si="9"/>
        <v>0</v>
      </c>
      <c r="AB20" s="173">
        <f t="shared" si="13"/>
        <v>0</v>
      </c>
      <c r="AC20" s="79"/>
      <c r="AD20" s="79"/>
      <c r="AE20" s="76"/>
      <c r="AF20" s="76"/>
    </row>
    <row r="21" spans="1:32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71" t="str">
        <f t="shared" si="3"/>
        <v/>
      </c>
      <c r="P21" s="172"/>
      <c r="Q21" s="128">
        <f t="shared" si="4"/>
        <v>0</v>
      </c>
      <c r="R21" s="188"/>
      <c r="S21" s="195" t="str">
        <f t="shared" si="14"/>
        <v/>
      </c>
      <c r="T21" s="188"/>
      <c r="U21" s="188"/>
      <c r="V21" s="188"/>
      <c r="W21" s="188"/>
      <c r="X21" s="95"/>
      <c r="Y21" s="95"/>
      <c r="Z21" s="95"/>
      <c r="AA21" s="186">
        <f t="shared" si="9"/>
        <v>0</v>
      </c>
      <c r="AB21" s="173">
        <f t="shared" si="13"/>
        <v>0</v>
      </c>
      <c r="AC21" s="79"/>
      <c r="AD21" s="79"/>
      <c r="AE21" s="76"/>
      <c r="AF21" s="76"/>
    </row>
    <row r="22" spans="1:32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6.4908314058161158</v>
      </c>
      <c r="G22" s="53">
        <f>H22*1.0936113</f>
        <v>11423.8636398</v>
      </c>
      <c r="H22" s="104">
        <f>INT(SUM($O14:$O20))</f>
        <v>10446</v>
      </c>
      <c r="I22" s="120"/>
      <c r="J22" s="499"/>
      <c r="K22" s="500"/>
      <c r="L22" s="500"/>
      <c r="M22" s="500"/>
      <c r="N22" s="500"/>
      <c r="O22" s="171" t="str">
        <f t="shared" si="3"/>
        <v/>
      </c>
      <c r="P22" s="172"/>
      <c r="Q22" s="128">
        <f t="shared" si="4"/>
        <v>0</v>
      </c>
      <c r="R22" s="189"/>
      <c r="S22" s="195" t="str">
        <f t="shared" si="14"/>
        <v/>
      </c>
      <c r="T22" s="189"/>
      <c r="U22" s="189"/>
      <c r="V22" s="189"/>
      <c r="W22" s="189"/>
      <c r="X22" s="95"/>
      <c r="Y22" s="95"/>
      <c r="Z22" s="95"/>
      <c r="AA22" s="186">
        <f t="shared" si="9"/>
        <v>0</v>
      </c>
      <c r="AB22" s="173">
        <f t="shared" si="13"/>
        <v>0</v>
      </c>
      <c r="AC22" s="79"/>
      <c r="AD22" s="79"/>
      <c r="AE22" s="76"/>
      <c r="AF22" s="76"/>
    </row>
    <row r="23" spans="1:32" ht="17" thickTop="1">
      <c r="A23" s="1"/>
      <c r="B23" s="47">
        <f t="shared" ref="B23:B29" si="25">IF(B$2&gt;C23,0,C23)</f>
        <v>45397</v>
      </c>
      <c r="C23" s="31">
        <f>C20+1</f>
        <v>45397</v>
      </c>
      <c r="D23" s="18">
        <f t="shared" ca="1" si="1"/>
        <v>-106</v>
      </c>
      <c r="E23" s="94" t="s">
        <v>1</v>
      </c>
      <c r="F23" s="45"/>
      <c r="G23" s="46"/>
      <c r="H23" s="46"/>
      <c r="I23" s="151"/>
      <c r="J23" s="46"/>
      <c r="K23" s="152" t="str">
        <f t="shared" ref="K23:K29" si="26">IF(R23=0,"",IF(L23="","",J23))</f>
        <v/>
      </c>
      <c r="L23" s="101"/>
      <c r="M23" s="46" t="str">
        <f t="shared" ref="M23:M29" si="27">IF(R23=0,"",IF(J23="","",L23))</f>
        <v/>
      </c>
      <c r="N23" s="301"/>
      <c r="O23" s="171">
        <f t="shared" si="3"/>
        <v>1492.4007982092387</v>
      </c>
      <c r="P23" s="172">
        <f t="shared" ref="P23:P29" si="28">H$56</f>
        <v>44767.805587464667</v>
      </c>
      <c r="Q23" s="128">
        <f t="shared" si="4"/>
        <v>44767.805587464667</v>
      </c>
      <c r="R23" s="128">
        <f t="shared" ref="R23:R29" si="29">IF(R$2=3,H23+G23/1.0936133+F23/0.0006213712,IF(R$2=2,H23*1.0936133+G23+F23/0.0005681818,IF(R$2=1,H23*0.0005681818*1.0936133+G23*0.0005681818+F23,"")))</f>
        <v>0</v>
      </c>
      <c r="S23" s="195" t="str">
        <f t="shared" si="14"/>
        <v/>
      </c>
      <c r="T23" s="128"/>
      <c r="U23" s="128"/>
      <c r="V23" s="129" t="str">
        <f t="shared" ref="V23:V29" si="30">IF(L23="","",IF(R23=0,"",IF(B23=0,"",IF($R$2=3,R23/L23*60/1000,IF($R$2=2,R23/L23*60/1760,IF($R$2=1,R23/L23*60,""))))))</f>
        <v/>
      </c>
      <c r="W23" s="129" t="str">
        <f t="shared" ref="W23:W29" si="31">IF(R23=0,"",IF(L23="","",V23*L23))</f>
        <v/>
      </c>
      <c r="X23" s="171">
        <f>F23+X20</f>
        <v>0</v>
      </c>
      <c r="Y23" s="171">
        <f>G23+Y20</f>
        <v>0</v>
      </c>
      <c r="Z23" s="171">
        <f>H23+Z20</f>
        <v>0</v>
      </c>
      <c r="AA23" s="186">
        <f t="shared" si="9"/>
        <v>0</v>
      </c>
      <c r="AB23" s="173">
        <f t="shared" si="13"/>
        <v>0</v>
      </c>
      <c r="AC23" s="79"/>
      <c r="AD23" s="79"/>
      <c r="AE23" s="76"/>
      <c r="AF23" s="76"/>
    </row>
    <row r="24" spans="1:32">
      <c r="A24" s="1"/>
      <c r="B24" s="4">
        <f t="shared" si="25"/>
        <v>45398</v>
      </c>
      <c r="C24" s="29">
        <f t="shared" ref="C24:C29" si="32">C23+1</f>
        <v>45398</v>
      </c>
      <c r="D24" s="6">
        <f t="shared" ca="1" si="1"/>
        <v>-107</v>
      </c>
      <c r="E24" s="90" t="s">
        <v>2</v>
      </c>
      <c r="F24" s="45"/>
      <c r="G24" s="46"/>
      <c r="H24" s="46"/>
      <c r="I24" s="151"/>
      <c r="J24" s="46"/>
      <c r="K24" s="152" t="str">
        <f t="shared" si="26"/>
        <v/>
      </c>
      <c r="L24" s="46"/>
      <c r="M24" s="46" t="str">
        <f t="shared" si="27"/>
        <v/>
      </c>
      <c r="N24" s="301"/>
      <c r="O24" s="171">
        <f t="shared" si="3"/>
        <v>1492.4007982092387</v>
      </c>
      <c r="P24" s="172">
        <f t="shared" si="28"/>
        <v>44767.805587464667</v>
      </c>
      <c r="Q24" s="128">
        <f t="shared" si="4"/>
        <v>44767.805587464667</v>
      </c>
      <c r="R24" s="128">
        <f t="shared" si="29"/>
        <v>0</v>
      </c>
      <c r="S24" s="195" t="str">
        <f t="shared" si="14"/>
        <v/>
      </c>
      <c r="T24" s="128"/>
      <c r="U24" s="128"/>
      <c r="V24" s="129" t="str">
        <f t="shared" si="30"/>
        <v/>
      </c>
      <c r="W24" s="129" t="str">
        <f t="shared" si="31"/>
        <v/>
      </c>
      <c r="X24" s="171">
        <f t="shared" ref="X24:Z29" si="33">F24+X23</f>
        <v>0</v>
      </c>
      <c r="Y24" s="171">
        <f t="shared" si="33"/>
        <v>0</v>
      </c>
      <c r="Z24" s="171">
        <f>H24+Z23</f>
        <v>0</v>
      </c>
      <c r="AA24" s="186">
        <f t="shared" si="9"/>
        <v>0</v>
      </c>
      <c r="AB24" s="173">
        <f t="shared" si="13"/>
        <v>0</v>
      </c>
      <c r="AC24" s="79"/>
      <c r="AD24" s="79"/>
      <c r="AE24" s="76"/>
      <c r="AF24" s="76"/>
    </row>
    <row r="25" spans="1:32">
      <c r="A25" s="1"/>
      <c r="B25" s="4">
        <f t="shared" si="25"/>
        <v>45399</v>
      </c>
      <c r="C25" s="29">
        <f t="shared" si="32"/>
        <v>45399</v>
      </c>
      <c r="D25" s="6">
        <f t="shared" ca="1" si="1"/>
        <v>-108</v>
      </c>
      <c r="E25" s="90" t="s">
        <v>3</v>
      </c>
      <c r="F25" s="45"/>
      <c r="G25" s="46"/>
      <c r="H25" s="46"/>
      <c r="I25" s="151"/>
      <c r="J25" s="46"/>
      <c r="K25" s="152" t="str">
        <f t="shared" si="26"/>
        <v/>
      </c>
      <c r="L25" s="46"/>
      <c r="M25" s="46" t="str">
        <f t="shared" si="27"/>
        <v/>
      </c>
      <c r="N25" s="301"/>
      <c r="O25" s="171">
        <f t="shared" si="3"/>
        <v>1492.4007982092387</v>
      </c>
      <c r="P25" s="172">
        <f t="shared" si="28"/>
        <v>44767.805587464667</v>
      </c>
      <c r="Q25" s="128">
        <f t="shared" si="4"/>
        <v>44767.805587464667</v>
      </c>
      <c r="R25" s="128">
        <f t="shared" si="29"/>
        <v>0</v>
      </c>
      <c r="S25" s="195" t="str">
        <f t="shared" si="14"/>
        <v/>
      </c>
      <c r="T25" s="128"/>
      <c r="U25" s="128"/>
      <c r="V25" s="129" t="str">
        <f t="shared" si="30"/>
        <v/>
      </c>
      <c r="W25" s="129" t="str">
        <f t="shared" si="31"/>
        <v/>
      </c>
      <c r="X25" s="171">
        <f t="shared" si="33"/>
        <v>0</v>
      </c>
      <c r="Y25" s="171">
        <f t="shared" si="33"/>
        <v>0</v>
      </c>
      <c r="Z25" s="171">
        <f>H25+Z24</f>
        <v>0</v>
      </c>
      <c r="AA25" s="186">
        <f t="shared" si="9"/>
        <v>0</v>
      </c>
      <c r="AB25" s="173">
        <f t="shared" si="13"/>
        <v>0</v>
      </c>
      <c r="AC25" s="79"/>
      <c r="AD25" s="79"/>
      <c r="AE25" s="76"/>
      <c r="AF25" s="76"/>
    </row>
    <row r="26" spans="1:32">
      <c r="A26" s="1"/>
      <c r="B26" s="4">
        <f t="shared" si="25"/>
        <v>45400</v>
      </c>
      <c r="C26" s="29">
        <f t="shared" si="32"/>
        <v>45400</v>
      </c>
      <c r="D26" s="6">
        <f t="shared" ca="1" si="1"/>
        <v>-109</v>
      </c>
      <c r="E26" s="90" t="s">
        <v>4</v>
      </c>
      <c r="F26" s="45"/>
      <c r="G26" s="46"/>
      <c r="H26" s="46"/>
      <c r="I26" s="151"/>
      <c r="J26" s="46"/>
      <c r="K26" s="152" t="str">
        <f t="shared" si="26"/>
        <v/>
      </c>
      <c r="L26" s="46"/>
      <c r="M26" s="46" t="str">
        <f t="shared" si="27"/>
        <v/>
      </c>
      <c r="N26" s="301"/>
      <c r="O26" s="171">
        <f t="shared" si="3"/>
        <v>1492.4007982092387</v>
      </c>
      <c r="P26" s="172">
        <f t="shared" si="28"/>
        <v>44767.805587464667</v>
      </c>
      <c r="Q26" s="128">
        <f t="shared" si="4"/>
        <v>44767.805587464667</v>
      </c>
      <c r="R26" s="128">
        <f t="shared" si="29"/>
        <v>0</v>
      </c>
      <c r="S26" s="195" t="str">
        <f t="shared" si="12"/>
        <v/>
      </c>
      <c r="T26" s="128"/>
      <c r="U26" s="128"/>
      <c r="V26" s="129" t="str">
        <f t="shared" si="30"/>
        <v/>
      </c>
      <c r="W26" s="129" t="str">
        <f t="shared" si="31"/>
        <v/>
      </c>
      <c r="X26" s="171">
        <f t="shared" si="33"/>
        <v>0</v>
      </c>
      <c r="Y26" s="171">
        <f t="shared" si="33"/>
        <v>0</v>
      </c>
      <c r="Z26" s="171">
        <f t="shared" si="33"/>
        <v>0</v>
      </c>
      <c r="AA26" s="186">
        <f t="shared" si="9"/>
        <v>0</v>
      </c>
      <c r="AB26" s="173">
        <f t="shared" si="13"/>
        <v>0</v>
      </c>
      <c r="AC26" s="79"/>
      <c r="AD26" s="79"/>
      <c r="AE26" s="76"/>
      <c r="AF26" s="76"/>
    </row>
    <row r="27" spans="1:32">
      <c r="A27" s="1"/>
      <c r="B27" s="4">
        <f t="shared" si="25"/>
        <v>45401</v>
      </c>
      <c r="C27" s="29">
        <f t="shared" si="32"/>
        <v>45401</v>
      </c>
      <c r="D27" s="6">
        <f t="shared" ca="1" si="1"/>
        <v>-110</v>
      </c>
      <c r="E27" s="90" t="s">
        <v>5</v>
      </c>
      <c r="F27" s="45"/>
      <c r="G27" s="46"/>
      <c r="H27" s="46"/>
      <c r="I27" s="151"/>
      <c r="J27" s="46"/>
      <c r="K27" s="152" t="str">
        <f t="shared" si="26"/>
        <v/>
      </c>
      <c r="L27" s="46"/>
      <c r="M27" s="46" t="str">
        <f t="shared" si="27"/>
        <v/>
      </c>
      <c r="N27" s="301"/>
      <c r="O27" s="171">
        <f t="shared" si="3"/>
        <v>1492.4007982092387</v>
      </c>
      <c r="P27" s="172">
        <f t="shared" si="28"/>
        <v>44767.805587464667</v>
      </c>
      <c r="Q27" s="128">
        <f t="shared" si="4"/>
        <v>44767.805587464667</v>
      </c>
      <c r="R27" s="128">
        <f t="shared" si="29"/>
        <v>0</v>
      </c>
      <c r="S27" s="195" t="str">
        <f t="shared" si="12"/>
        <v/>
      </c>
      <c r="T27" s="128"/>
      <c r="U27" s="128"/>
      <c r="V27" s="129" t="str">
        <f t="shared" si="30"/>
        <v/>
      </c>
      <c r="W27" s="129" t="str">
        <f t="shared" si="31"/>
        <v/>
      </c>
      <c r="X27" s="171">
        <f t="shared" si="33"/>
        <v>0</v>
      </c>
      <c r="Y27" s="171">
        <f t="shared" si="33"/>
        <v>0</v>
      </c>
      <c r="Z27" s="171">
        <f t="shared" si="33"/>
        <v>0</v>
      </c>
      <c r="AA27" s="186">
        <f t="shared" si="9"/>
        <v>0</v>
      </c>
      <c r="AB27" s="173">
        <f t="shared" si="13"/>
        <v>0</v>
      </c>
      <c r="AC27" s="79"/>
      <c r="AD27" s="79"/>
      <c r="AE27" s="76"/>
      <c r="AF27" s="76"/>
    </row>
    <row r="28" spans="1:32">
      <c r="A28" s="1"/>
      <c r="B28" s="4">
        <f t="shared" si="25"/>
        <v>45402</v>
      </c>
      <c r="C28" s="29">
        <f t="shared" si="32"/>
        <v>45402</v>
      </c>
      <c r="D28" s="6">
        <f t="shared" ca="1" si="1"/>
        <v>-111</v>
      </c>
      <c r="E28" s="90" t="s">
        <v>6</v>
      </c>
      <c r="F28" s="45"/>
      <c r="G28" s="46"/>
      <c r="H28" s="46"/>
      <c r="I28" s="151"/>
      <c r="J28" s="46"/>
      <c r="K28" s="152" t="str">
        <f t="shared" si="26"/>
        <v/>
      </c>
      <c r="L28" s="46"/>
      <c r="M28" s="46" t="str">
        <f t="shared" si="27"/>
        <v/>
      </c>
      <c r="N28" s="301"/>
      <c r="O28" s="171">
        <f t="shared" si="3"/>
        <v>1492.4007982092387</v>
      </c>
      <c r="P28" s="172">
        <f t="shared" si="28"/>
        <v>44767.805587464667</v>
      </c>
      <c r="Q28" s="128">
        <f t="shared" si="4"/>
        <v>44767.805587464667</v>
      </c>
      <c r="R28" s="128">
        <f t="shared" si="29"/>
        <v>0</v>
      </c>
      <c r="S28" s="195" t="str">
        <f t="shared" si="12"/>
        <v/>
      </c>
      <c r="T28" s="128"/>
      <c r="U28" s="128"/>
      <c r="V28" s="129" t="str">
        <f t="shared" si="30"/>
        <v/>
      </c>
      <c r="W28" s="129" t="str">
        <f t="shared" si="31"/>
        <v/>
      </c>
      <c r="X28" s="171">
        <f t="shared" si="33"/>
        <v>0</v>
      </c>
      <c r="Y28" s="171">
        <f t="shared" si="33"/>
        <v>0</v>
      </c>
      <c r="Z28" s="171">
        <f t="shared" si="33"/>
        <v>0</v>
      </c>
      <c r="AA28" s="186">
        <f t="shared" si="9"/>
        <v>0</v>
      </c>
      <c r="AB28" s="173">
        <f t="shared" si="13"/>
        <v>0</v>
      </c>
      <c r="AC28" s="79"/>
      <c r="AD28" s="79"/>
      <c r="AE28" s="76"/>
      <c r="AF28" s="76"/>
    </row>
    <row r="29" spans="1:32" ht="17" thickBot="1">
      <c r="A29" s="1"/>
      <c r="B29" s="43">
        <f t="shared" si="25"/>
        <v>45403</v>
      </c>
      <c r="C29" s="32">
        <f t="shared" si="32"/>
        <v>45403</v>
      </c>
      <c r="D29" s="44">
        <f t="shared" ca="1" si="1"/>
        <v>-112</v>
      </c>
      <c r="E29" s="93" t="s">
        <v>7</v>
      </c>
      <c r="F29" s="45"/>
      <c r="G29" s="46"/>
      <c r="H29" s="46"/>
      <c r="I29" s="151"/>
      <c r="J29" s="46"/>
      <c r="K29" s="152" t="str">
        <f t="shared" si="26"/>
        <v/>
      </c>
      <c r="L29" s="46"/>
      <c r="M29" s="46" t="str">
        <f t="shared" si="27"/>
        <v/>
      </c>
      <c r="N29" s="301"/>
      <c r="O29" s="171">
        <f t="shared" si="3"/>
        <v>1492.4007982092387</v>
      </c>
      <c r="P29" s="172">
        <f t="shared" si="28"/>
        <v>44767.805587464667</v>
      </c>
      <c r="Q29" s="128">
        <f t="shared" si="4"/>
        <v>44767.805587464667</v>
      </c>
      <c r="R29" s="128">
        <f t="shared" si="29"/>
        <v>0</v>
      </c>
      <c r="S29" s="195" t="str">
        <f t="shared" si="12"/>
        <v/>
      </c>
      <c r="T29" s="128"/>
      <c r="U29" s="128"/>
      <c r="V29" s="129" t="str">
        <f t="shared" si="30"/>
        <v/>
      </c>
      <c r="W29" s="129" t="str">
        <f t="shared" si="31"/>
        <v/>
      </c>
      <c r="X29" s="171">
        <f t="shared" si="33"/>
        <v>0</v>
      </c>
      <c r="Y29" s="171">
        <f t="shared" si="33"/>
        <v>0</v>
      </c>
      <c r="Z29" s="171">
        <f t="shared" si="33"/>
        <v>0</v>
      </c>
      <c r="AA29" s="186">
        <f t="shared" si="9"/>
        <v>0</v>
      </c>
      <c r="AB29" s="173">
        <f t="shared" si="13"/>
        <v>0</v>
      </c>
      <c r="AC29" s="79"/>
      <c r="AD29" s="79"/>
      <c r="AE29" s="76"/>
      <c r="AF29" s="76"/>
    </row>
    <row r="30" spans="1:32" ht="17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71" t="str">
        <f t="shared" si="3"/>
        <v/>
      </c>
      <c r="P30" s="172"/>
      <c r="Q30" s="128">
        <f t="shared" si="4"/>
        <v>0</v>
      </c>
      <c r="R30" s="188"/>
      <c r="S30" s="195" t="str">
        <f t="shared" si="12"/>
        <v/>
      </c>
      <c r="T30" s="188"/>
      <c r="U30" s="188"/>
      <c r="V30" s="188"/>
      <c r="W30" s="188"/>
      <c r="X30" s="95"/>
      <c r="Y30" s="95"/>
      <c r="Z30" s="95"/>
      <c r="AA30" s="186">
        <f t="shared" si="9"/>
        <v>0</v>
      </c>
      <c r="AB30" s="173">
        <f t="shared" si="13"/>
        <v>0</v>
      </c>
      <c r="AC30" s="79"/>
      <c r="AD30" s="79"/>
      <c r="AE30" s="76"/>
      <c r="AF30" s="76"/>
    </row>
    <row r="31" spans="1:32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6.4908314058161158</v>
      </c>
      <c r="G31" s="53">
        <f>H31*1.0936113</f>
        <v>11423.8636398</v>
      </c>
      <c r="H31" s="104">
        <f>INT(SUM($O23:$O29))</f>
        <v>10446</v>
      </c>
      <c r="I31" s="120"/>
      <c r="J31" s="503"/>
      <c r="K31" s="504"/>
      <c r="L31" s="504"/>
      <c r="M31" s="271"/>
      <c r="N31" s="506"/>
      <c r="O31" s="171" t="str">
        <f t="shared" si="3"/>
        <v/>
      </c>
      <c r="P31" s="172"/>
      <c r="Q31" s="128">
        <f t="shared" si="4"/>
        <v>0</v>
      </c>
      <c r="R31" s="189"/>
      <c r="S31" s="195" t="str">
        <f t="shared" si="12"/>
        <v/>
      </c>
      <c r="T31" s="189"/>
      <c r="U31" s="189"/>
      <c r="V31" s="189"/>
      <c r="W31" s="189"/>
      <c r="X31" s="95"/>
      <c r="Y31" s="95"/>
      <c r="Z31" s="95"/>
      <c r="AA31" s="186">
        <f t="shared" si="9"/>
        <v>0</v>
      </c>
      <c r="AB31" s="173">
        <f t="shared" si="13"/>
        <v>0</v>
      </c>
      <c r="AC31" s="79"/>
      <c r="AD31" s="79"/>
      <c r="AE31" s="76"/>
      <c r="AF31" s="76"/>
    </row>
    <row r="32" spans="1:32" ht="17" thickTop="1">
      <c r="A32" s="1"/>
      <c r="B32" s="47">
        <f t="shared" ref="B32:B38" si="34">IF(B$2&gt;C32,0,C32)</f>
        <v>45404</v>
      </c>
      <c r="C32" s="31">
        <f>C29+1</f>
        <v>45404</v>
      </c>
      <c r="D32" s="18">
        <f t="shared" ca="1" si="1"/>
        <v>-113</v>
      </c>
      <c r="E32" s="94" t="s">
        <v>1</v>
      </c>
      <c r="F32" s="45"/>
      <c r="G32" s="46"/>
      <c r="H32" s="46"/>
      <c r="I32" s="151"/>
      <c r="J32" s="46"/>
      <c r="K32" s="152"/>
      <c r="L32" s="121"/>
      <c r="M32" s="46" t="str">
        <f>IF(R32=0,"",IF(J32="","",L32))</f>
        <v/>
      </c>
      <c r="N32" s="301"/>
      <c r="O32" s="171">
        <f t="shared" si="3"/>
        <v>1492.4007982092387</v>
      </c>
      <c r="P32" s="172">
        <f t="shared" ref="P32:P38" si="35">H$56</f>
        <v>44767.805587464667</v>
      </c>
      <c r="Q32" s="128">
        <f t="shared" si="4"/>
        <v>44767.805587464667</v>
      </c>
      <c r="R32" s="128">
        <f>IF(R$2=3,H32+G32/1.0936133+F32/0.0006213712,IF(R$2=2,H32*1.0936133+G32+F32/0.0005681818,IF(R$2=1,H32*0.0005681818*1.0936133+G32*0.0005681818+F32,"")))</f>
        <v>0</v>
      </c>
      <c r="S32" s="195" t="str">
        <f t="shared" si="12"/>
        <v/>
      </c>
      <c r="T32" s="128"/>
      <c r="U32" s="128"/>
      <c r="V32" s="129" t="str">
        <f t="shared" ref="V32:V38" si="36">IF(L32="","",IF(R32=0,"",IF(B32=0,"",IF($R$2=3,R32/L32*60/1000,IF($R$2=2,R32/L32*60/1760,IF($R$2=1,R32/L32*60,""))))))</f>
        <v/>
      </c>
      <c r="W32" s="129" t="str">
        <f t="shared" ref="W32:W38" si="37">IF(R32=0,"",IF(L32="","",V32*L32))</f>
        <v/>
      </c>
      <c r="X32" s="171">
        <f>F32+X29</f>
        <v>0</v>
      </c>
      <c r="Y32" s="171">
        <f>G32+Y29</f>
        <v>0</v>
      </c>
      <c r="Z32" s="171">
        <f>H32+Z29</f>
        <v>0</v>
      </c>
      <c r="AA32" s="186">
        <f t="shared" si="9"/>
        <v>0</v>
      </c>
      <c r="AB32" s="173">
        <f t="shared" si="13"/>
        <v>0</v>
      </c>
      <c r="AC32" s="79"/>
      <c r="AD32" s="79"/>
      <c r="AE32" s="76"/>
      <c r="AF32" s="76"/>
    </row>
    <row r="33" spans="1:32">
      <c r="A33" s="1"/>
      <c r="B33" s="4">
        <f t="shared" si="34"/>
        <v>45405</v>
      </c>
      <c r="C33" s="29">
        <f t="shared" ref="C33:C38" si="38">C32+1</f>
        <v>45405</v>
      </c>
      <c r="D33" s="6">
        <f t="shared" ca="1" si="1"/>
        <v>-114</v>
      </c>
      <c r="E33" s="90" t="s">
        <v>2</v>
      </c>
      <c r="F33" s="45"/>
      <c r="G33" s="46"/>
      <c r="H33" s="46"/>
      <c r="I33" s="151"/>
      <c r="J33" s="46"/>
      <c r="K33" s="152"/>
      <c r="L33" s="46"/>
      <c r="M33" s="46" t="str">
        <f t="shared" ref="M33:M38" si="39">IF(R33=0,"",IF(J33="","",L33))</f>
        <v/>
      </c>
      <c r="N33" s="301"/>
      <c r="O33" s="171">
        <f t="shared" si="3"/>
        <v>1492.4007982092387</v>
      </c>
      <c r="P33" s="172">
        <f t="shared" si="35"/>
        <v>44767.805587464667</v>
      </c>
      <c r="Q33" s="128">
        <f t="shared" si="4"/>
        <v>44767.805587464667</v>
      </c>
      <c r="R33" s="128">
        <f t="shared" ref="R33:R38" si="40">IF(R$2=3,H33+G33/1.0936133+F33/0.0006213712,IF(R$2=2,H33*1.0936133+G33+F33/0.0005681818,IF(R$2=1,H33*0.0005681818*1.0936133+G33*0.0005681818+F33,"")))</f>
        <v>0</v>
      </c>
      <c r="S33" s="195" t="str">
        <f t="shared" si="12"/>
        <v/>
      </c>
      <c r="T33" s="128"/>
      <c r="U33" s="128"/>
      <c r="V33" s="129" t="str">
        <f t="shared" si="36"/>
        <v/>
      </c>
      <c r="W33" s="129" t="str">
        <f t="shared" si="37"/>
        <v/>
      </c>
      <c r="X33" s="171">
        <f t="shared" ref="X33:Z38" si="41">F33+X32</f>
        <v>0</v>
      </c>
      <c r="Y33" s="171">
        <f t="shared" si="41"/>
        <v>0</v>
      </c>
      <c r="Z33" s="171">
        <f t="shared" si="41"/>
        <v>0</v>
      </c>
      <c r="AA33" s="186">
        <f t="shared" si="9"/>
        <v>0</v>
      </c>
      <c r="AB33" s="173">
        <f t="shared" si="13"/>
        <v>0</v>
      </c>
      <c r="AC33" s="79"/>
      <c r="AD33" s="79"/>
      <c r="AE33" s="76"/>
      <c r="AF33" s="76"/>
    </row>
    <row r="34" spans="1:32">
      <c r="A34" s="1"/>
      <c r="B34" s="4">
        <f t="shared" si="34"/>
        <v>45406</v>
      </c>
      <c r="C34" s="29">
        <f t="shared" si="38"/>
        <v>45406</v>
      </c>
      <c r="D34" s="6">
        <f t="shared" ca="1" si="1"/>
        <v>-115</v>
      </c>
      <c r="E34" s="90" t="s">
        <v>3</v>
      </c>
      <c r="F34" s="45"/>
      <c r="G34" s="46"/>
      <c r="H34" s="46"/>
      <c r="I34" s="151"/>
      <c r="J34" s="46"/>
      <c r="K34" s="152"/>
      <c r="L34" s="46"/>
      <c r="M34" s="46" t="str">
        <f t="shared" si="39"/>
        <v/>
      </c>
      <c r="N34" s="301"/>
      <c r="O34" s="171">
        <f t="shared" si="3"/>
        <v>1492.4007982092387</v>
      </c>
      <c r="P34" s="172">
        <f t="shared" si="35"/>
        <v>44767.805587464667</v>
      </c>
      <c r="Q34" s="128">
        <f t="shared" si="4"/>
        <v>44767.805587464667</v>
      </c>
      <c r="R34" s="128">
        <f t="shared" si="40"/>
        <v>0</v>
      </c>
      <c r="S34" s="195" t="str">
        <f t="shared" si="12"/>
        <v/>
      </c>
      <c r="T34" s="128"/>
      <c r="U34" s="128"/>
      <c r="V34" s="129" t="str">
        <f t="shared" si="36"/>
        <v/>
      </c>
      <c r="W34" s="129" t="str">
        <f t="shared" si="37"/>
        <v/>
      </c>
      <c r="X34" s="171">
        <f t="shared" si="41"/>
        <v>0</v>
      </c>
      <c r="Y34" s="171">
        <f t="shared" si="41"/>
        <v>0</v>
      </c>
      <c r="Z34" s="171">
        <f t="shared" si="41"/>
        <v>0</v>
      </c>
      <c r="AA34" s="186">
        <f t="shared" si="9"/>
        <v>0</v>
      </c>
      <c r="AB34" s="173">
        <f t="shared" si="13"/>
        <v>0</v>
      </c>
      <c r="AC34" s="79"/>
      <c r="AD34" s="79"/>
      <c r="AE34" s="76"/>
      <c r="AF34" s="76"/>
    </row>
    <row r="35" spans="1:32">
      <c r="A35" s="1"/>
      <c r="B35" s="4">
        <f t="shared" si="34"/>
        <v>45407</v>
      </c>
      <c r="C35" s="29">
        <f t="shared" si="38"/>
        <v>45407</v>
      </c>
      <c r="D35" s="6">
        <f t="shared" ca="1" si="1"/>
        <v>-116</v>
      </c>
      <c r="E35" s="90" t="s">
        <v>4</v>
      </c>
      <c r="F35" s="45"/>
      <c r="G35" s="46"/>
      <c r="H35" s="46"/>
      <c r="I35" s="151"/>
      <c r="J35" s="46"/>
      <c r="K35" s="152"/>
      <c r="L35" s="46"/>
      <c r="M35" s="46" t="str">
        <f t="shared" si="39"/>
        <v/>
      </c>
      <c r="N35" s="310"/>
      <c r="O35" s="171">
        <f t="shared" si="3"/>
        <v>1492.4007982092387</v>
      </c>
      <c r="P35" s="172">
        <f t="shared" si="35"/>
        <v>44767.805587464667</v>
      </c>
      <c r="Q35" s="128">
        <f t="shared" si="4"/>
        <v>44767.805587464667</v>
      </c>
      <c r="R35" s="128">
        <f t="shared" si="40"/>
        <v>0</v>
      </c>
      <c r="S35" s="195" t="str">
        <f t="shared" si="12"/>
        <v/>
      </c>
      <c r="T35" s="128"/>
      <c r="U35" s="128"/>
      <c r="V35" s="129" t="str">
        <f t="shared" si="36"/>
        <v/>
      </c>
      <c r="W35" s="129" t="str">
        <f t="shared" si="37"/>
        <v/>
      </c>
      <c r="X35" s="171">
        <f t="shared" si="41"/>
        <v>0</v>
      </c>
      <c r="Y35" s="171">
        <f t="shared" si="41"/>
        <v>0</v>
      </c>
      <c r="Z35" s="171">
        <f t="shared" si="41"/>
        <v>0</v>
      </c>
      <c r="AA35" s="186">
        <f t="shared" si="9"/>
        <v>0</v>
      </c>
      <c r="AB35" s="173">
        <f t="shared" si="13"/>
        <v>0</v>
      </c>
      <c r="AC35" s="79"/>
      <c r="AD35" s="79"/>
      <c r="AE35" s="76"/>
      <c r="AF35" s="76"/>
    </row>
    <row r="36" spans="1:32">
      <c r="A36" s="1"/>
      <c r="B36" s="4">
        <f t="shared" si="34"/>
        <v>45408</v>
      </c>
      <c r="C36" s="29">
        <f t="shared" si="38"/>
        <v>45408</v>
      </c>
      <c r="D36" s="6">
        <f t="shared" ca="1" si="1"/>
        <v>-117</v>
      </c>
      <c r="E36" s="90" t="s">
        <v>5</v>
      </c>
      <c r="F36" s="45"/>
      <c r="G36" s="46"/>
      <c r="H36" s="46"/>
      <c r="I36" s="151"/>
      <c r="J36" s="46"/>
      <c r="K36" s="152"/>
      <c r="L36" s="46"/>
      <c r="M36" s="46" t="str">
        <f t="shared" si="39"/>
        <v/>
      </c>
      <c r="N36" s="301"/>
      <c r="O36" s="171">
        <f t="shared" si="3"/>
        <v>1492.4007982092387</v>
      </c>
      <c r="P36" s="172">
        <f t="shared" si="35"/>
        <v>44767.805587464667</v>
      </c>
      <c r="Q36" s="128">
        <f t="shared" si="4"/>
        <v>44767.805587464667</v>
      </c>
      <c r="R36" s="128">
        <f t="shared" si="40"/>
        <v>0</v>
      </c>
      <c r="S36" s="195" t="str">
        <f t="shared" si="12"/>
        <v/>
      </c>
      <c r="T36" s="128"/>
      <c r="U36" s="128"/>
      <c r="V36" s="129" t="str">
        <f t="shared" si="36"/>
        <v/>
      </c>
      <c r="W36" s="129" t="str">
        <f t="shared" si="37"/>
        <v/>
      </c>
      <c r="X36" s="171">
        <f t="shared" si="41"/>
        <v>0</v>
      </c>
      <c r="Y36" s="171">
        <f t="shared" si="41"/>
        <v>0</v>
      </c>
      <c r="Z36" s="171">
        <f t="shared" si="41"/>
        <v>0</v>
      </c>
      <c r="AA36" s="186">
        <f t="shared" si="9"/>
        <v>0</v>
      </c>
      <c r="AB36" s="173">
        <f t="shared" si="13"/>
        <v>0</v>
      </c>
      <c r="AC36" s="79"/>
      <c r="AD36" s="79"/>
      <c r="AE36" s="76"/>
      <c r="AF36" s="76"/>
    </row>
    <row r="37" spans="1:32">
      <c r="A37" s="1"/>
      <c r="B37" s="4">
        <f t="shared" si="34"/>
        <v>45409</v>
      </c>
      <c r="C37" s="29">
        <f t="shared" si="38"/>
        <v>45409</v>
      </c>
      <c r="D37" s="6">
        <f t="shared" ca="1" si="1"/>
        <v>-118</v>
      </c>
      <c r="E37" s="90" t="s">
        <v>6</v>
      </c>
      <c r="F37" s="45"/>
      <c r="G37" s="46"/>
      <c r="H37" s="309"/>
      <c r="I37" s="151"/>
      <c r="J37" s="46"/>
      <c r="K37" s="152"/>
      <c r="L37" s="46"/>
      <c r="M37" s="46" t="str">
        <f t="shared" si="39"/>
        <v/>
      </c>
      <c r="N37" s="310"/>
      <c r="O37" s="171">
        <f t="shared" si="3"/>
        <v>1492.4007982092387</v>
      </c>
      <c r="P37" s="172">
        <f t="shared" si="35"/>
        <v>44767.805587464667</v>
      </c>
      <c r="Q37" s="128">
        <f t="shared" si="4"/>
        <v>44767.805587464667</v>
      </c>
      <c r="R37" s="128">
        <f t="shared" si="40"/>
        <v>0</v>
      </c>
      <c r="S37" s="195" t="str">
        <f t="shared" si="12"/>
        <v/>
      </c>
      <c r="T37" s="128"/>
      <c r="U37" s="128"/>
      <c r="V37" s="129" t="str">
        <f t="shared" si="36"/>
        <v/>
      </c>
      <c r="W37" s="129" t="str">
        <f t="shared" si="37"/>
        <v/>
      </c>
      <c r="X37" s="171">
        <f t="shared" si="41"/>
        <v>0</v>
      </c>
      <c r="Y37" s="171">
        <f t="shared" si="41"/>
        <v>0</v>
      </c>
      <c r="Z37" s="171">
        <f t="shared" si="41"/>
        <v>0</v>
      </c>
      <c r="AA37" s="186">
        <f t="shared" si="9"/>
        <v>0</v>
      </c>
      <c r="AB37" s="173">
        <f t="shared" si="13"/>
        <v>0</v>
      </c>
      <c r="AC37" s="79"/>
      <c r="AD37" s="79"/>
      <c r="AE37" s="76"/>
      <c r="AF37" s="76"/>
    </row>
    <row r="38" spans="1:32" ht="17" thickBot="1">
      <c r="A38" s="1"/>
      <c r="B38" s="43">
        <f t="shared" si="34"/>
        <v>45410</v>
      </c>
      <c r="C38" s="32">
        <f t="shared" si="38"/>
        <v>45410</v>
      </c>
      <c r="D38" s="44">
        <f t="shared" ca="1" si="1"/>
        <v>-119</v>
      </c>
      <c r="E38" s="93" t="s">
        <v>7</v>
      </c>
      <c r="F38" s="45"/>
      <c r="G38" s="46"/>
      <c r="H38" s="46"/>
      <c r="I38" s="151"/>
      <c r="J38" s="46"/>
      <c r="K38" s="152" t="str">
        <f t="shared" ref="K38" si="42">IF(R38=0,"",IF(L38="","",J38))</f>
        <v/>
      </c>
      <c r="L38" s="46"/>
      <c r="M38" s="46" t="str">
        <f t="shared" si="39"/>
        <v/>
      </c>
      <c r="N38" s="303"/>
      <c r="O38" s="171">
        <f t="shared" si="3"/>
        <v>1492.4007982092387</v>
      </c>
      <c r="P38" s="172">
        <f t="shared" si="35"/>
        <v>44767.805587464667</v>
      </c>
      <c r="Q38" s="128">
        <f t="shared" si="4"/>
        <v>44767.805587464667</v>
      </c>
      <c r="R38" s="128">
        <f t="shared" si="40"/>
        <v>0</v>
      </c>
      <c r="S38" s="195" t="str">
        <f t="shared" si="12"/>
        <v/>
      </c>
      <c r="T38" s="128"/>
      <c r="U38" s="128"/>
      <c r="V38" s="129" t="str">
        <f t="shared" si="36"/>
        <v/>
      </c>
      <c r="W38" s="129" t="str">
        <f t="shared" si="37"/>
        <v/>
      </c>
      <c r="X38" s="171">
        <f t="shared" si="41"/>
        <v>0</v>
      </c>
      <c r="Y38" s="171">
        <f t="shared" si="41"/>
        <v>0</v>
      </c>
      <c r="Z38" s="171">
        <f t="shared" si="41"/>
        <v>0</v>
      </c>
      <c r="AA38" s="186">
        <f t="shared" si="9"/>
        <v>0</v>
      </c>
      <c r="AB38" s="173">
        <f t="shared" si="13"/>
        <v>0</v>
      </c>
      <c r="AC38" s="79"/>
      <c r="AD38" s="79"/>
      <c r="AE38" s="76"/>
      <c r="AF38" s="76"/>
    </row>
    <row r="39" spans="1:32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71" t="str">
        <f t="shared" si="3"/>
        <v/>
      </c>
      <c r="P39" s="172"/>
      <c r="Q39" s="128">
        <f t="shared" si="4"/>
        <v>0</v>
      </c>
      <c r="R39" s="188"/>
      <c r="S39" s="195" t="str">
        <f t="shared" si="12"/>
        <v/>
      </c>
      <c r="T39" s="188"/>
      <c r="U39" s="188"/>
      <c r="V39" s="188"/>
      <c r="W39" s="188"/>
      <c r="X39" s="95"/>
      <c r="Y39" s="95"/>
      <c r="Z39" s="95"/>
      <c r="AA39" s="186">
        <f t="shared" si="9"/>
        <v>0</v>
      </c>
      <c r="AB39" s="173">
        <f t="shared" si="13"/>
        <v>0</v>
      </c>
      <c r="AC39" s="79"/>
      <c r="AD39" s="79"/>
      <c r="AE39" s="76"/>
      <c r="AF39" s="76"/>
    </row>
    <row r="40" spans="1:32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6.4908314058161158</v>
      </c>
      <c r="G40" s="53">
        <f>H40*1.0936113</f>
        <v>11423.8636398</v>
      </c>
      <c r="H40" s="5">
        <f>INT(SUM($O32:$O38))</f>
        <v>10446</v>
      </c>
      <c r="I40" s="120"/>
      <c r="J40" s="123"/>
      <c r="K40" s="124"/>
      <c r="L40" s="159">
        <f>COUNT(S5:S51)-COUNT(V5:V51)</f>
        <v>0</v>
      </c>
      <c r="M40" s="124"/>
      <c r="N40" s="124"/>
      <c r="O40" s="171" t="str">
        <f t="shared" si="3"/>
        <v/>
      </c>
      <c r="P40" s="172"/>
      <c r="Q40" s="128">
        <f t="shared" si="4"/>
        <v>0</v>
      </c>
      <c r="R40" s="189"/>
      <c r="S40" s="195" t="str">
        <f t="shared" si="12"/>
        <v/>
      </c>
      <c r="T40" s="189"/>
      <c r="U40" s="189"/>
      <c r="V40" s="189"/>
      <c r="W40" s="189"/>
      <c r="X40" s="95"/>
      <c r="Y40" s="95"/>
      <c r="Z40" s="95"/>
      <c r="AA40" s="186">
        <f t="shared" si="9"/>
        <v>0</v>
      </c>
      <c r="AB40" s="173">
        <f t="shared" si="13"/>
        <v>0</v>
      </c>
      <c r="AC40" s="79"/>
      <c r="AD40" s="79"/>
      <c r="AE40" s="76"/>
      <c r="AF40" s="76"/>
    </row>
    <row r="41" spans="1:32" ht="17" thickTop="1">
      <c r="A41" s="1"/>
      <c r="B41" s="47">
        <f t="shared" ref="B41:B47" si="43">IF(B$3&lt;C41,0,C41)</f>
        <v>45411</v>
      </c>
      <c r="C41" s="31">
        <f>C38+1</f>
        <v>45411</v>
      </c>
      <c r="D41" s="18">
        <f t="shared" ca="1" si="1"/>
        <v>-120</v>
      </c>
      <c r="E41" s="94" t="str">
        <f>IF(B41=0,"","Monday")</f>
        <v>Monday</v>
      </c>
      <c r="F41" s="45"/>
      <c r="G41" s="46"/>
      <c r="H41" s="46"/>
      <c r="I41" s="151"/>
      <c r="J41" s="101"/>
      <c r="K41" s="152" t="str">
        <f t="shared" ref="K41:K47" si="44">IF(R41=0,"",IF(L41="","",J41))</f>
        <v/>
      </c>
      <c r="L41" s="101"/>
      <c r="M41" s="46" t="str">
        <f>IF(R41=0,"",IF(J41="","",L41))</f>
        <v/>
      </c>
      <c r="N41" s="301"/>
      <c r="O41" s="171">
        <f t="shared" si="3"/>
        <v>1492.4007982092387</v>
      </c>
      <c r="P41" s="172">
        <f t="shared" ref="P41:P47" si="45">H$56</f>
        <v>44767.805587464667</v>
      </c>
      <c r="Q41" s="128">
        <f t="shared" si="4"/>
        <v>44767.805587464667</v>
      </c>
      <c r="R41" s="128">
        <f>IF(R$2=3,H41+G41/1.0936133+F41/0.0006213712,IF(R$2=2,H41*1.0936133+G41+F41/0.0005681818,IF(R$2=1,H41*0.0005681818*1.0936133+G41*0.0005681818+F41,"")))</f>
        <v>0</v>
      </c>
      <c r="S41" s="195" t="str">
        <f t="shared" si="12"/>
        <v/>
      </c>
      <c r="T41" s="128"/>
      <c r="U41" s="128"/>
      <c r="V41" s="129" t="str">
        <f t="shared" ref="V41:V47" si="46">IF(L41="","",IF(R41=0,"",IF(B41=0,"",IF($R$2=3,R41/L41*60/1000,IF($R$2=2,R41/L41*60/1760,IF($R$2=1,R41/L41*60,""))))))</f>
        <v/>
      </c>
      <c r="W41" s="129" t="str">
        <f t="shared" ref="W41:W47" si="47">IF(R41=0,"",IF(L41="","",V41*L41))</f>
        <v/>
      </c>
      <c r="X41" s="171">
        <f>F41+X38</f>
        <v>0</v>
      </c>
      <c r="Y41" s="171">
        <f>G41+Y38</f>
        <v>0</v>
      </c>
      <c r="Z41" s="171">
        <f>H41+Z38</f>
        <v>0</v>
      </c>
      <c r="AA41" s="186">
        <f t="shared" si="9"/>
        <v>0</v>
      </c>
      <c r="AB41" s="173">
        <f t="shared" si="13"/>
        <v>0</v>
      </c>
      <c r="AC41" s="79"/>
      <c r="AD41" s="79"/>
      <c r="AE41" s="76"/>
      <c r="AF41" s="76"/>
    </row>
    <row r="42" spans="1:32">
      <c r="A42" s="1"/>
      <c r="B42" s="4">
        <f t="shared" si="43"/>
        <v>45412</v>
      </c>
      <c r="C42" s="29">
        <f t="shared" ref="C42:C47" si="48">C41+1</f>
        <v>45412</v>
      </c>
      <c r="D42" s="6">
        <f t="shared" ca="1" si="1"/>
        <v>-121</v>
      </c>
      <c r="E42" s="90" t="str">
        <f>IF(B42=0,"","Tuesday")</f>
        <v>Tuesday</v>
      </c>
      <c r="F42" s="45"/>
      <c r="G42" s="46"/>
      <c r="H42" s="46"/>
      <c r="I42" s="151"/>
      <c r="J42" s="46"/>
      <c r="K42" s="152" t="str">
        <f t="shared" si="44"/>
        <v/>
      </c>
      <c r="L42" s="46"/>
      <c r="M42" s="46" t="str">
        <f t="shared" ref="M42:M47" si="49">IF(R42=0,"",IF(J42="","",L42))</f>
        <v/>
      </c>
      <c r="N42" s="301"/>
      <c r="O42" s="171">
        <f t="shared" si="3"/>
        <v>1492.4007982092387</v>
      </c>
      <c r="P42" s="172">
        <f t="shared" si="45"/>
        <v>44767.805587464667</v>
      </c>
      <c r="Q42" s="128">
        <f t="shared" si="4"/>
        <v>44767.805587464667</v>
      </c>
      <c r="R42" s="128">
        <f t="shared" ref="R42:R47" si="50">IF(R$2=3,H42+G42/1.0936133+F42/0.0006213712,IF(R$2=2,H42*1.0936133+G42+F42/0.0005681818,IF(R$2=1,H42*0.0005681818*1.0936133+G42*0.0005681818+F42,"")))</f>
        <v>0</v>
      </c>
      <c r="S42" s="195" t="str">
        <f t="shared" si="12"/>
        <v/>
      </c>
      <c r="T42" s="128"/>
      <c r="U42" s="128"/>
      <c r="V42" s="129" t="str">
        <f t="shared" si="46"/>
        <v/>
      </c>
      <c r="W42" s="129" t="str">
        <f t="shared" si="47"/>
        <v/>
      </c>
      <c r="X42" s="171">
        <f t="shared" ref="X42:Z47" si="51">F42+X41</f>
        <v>0</v>
      </c>
      <c r="Y42" s="171">
        <f t="shared" si="51"/>
        <v>0</v>
      </c>
      <c r="Z42" s="171">
        <f t="shared" si="51"/>
        <v>0</v>
      </c>
      <c r="AA42" s="186">
        <f t="shared" si="9"/>
        <v>0</v>
      </c>
      <c r="AB42" s="173">
        <f t="shared" si="13"/>
        <v>0</v>
      </c>
      <c r="AC42" s="79"/>
      <c r="AD42" s="79"/>
      <c r="AE42" s="76"/>
      <c r="AF42" s="76"/>
    </row>
    <row r="43" spans="1:32">
      <c r="A43" s="1"/>
      <c r="B43" s="4">
        <f t="shared" si="43"/>
        <v>0</v>
      </c>
      <c r="C43" s="29">
        <f t="shared" si="48"/>
        <v>45413</v>
      </c>
      <c r="D43" s="6">
        <f t="shared" ca="1" si="1"/>
        <v>-122</v>
      </c>
      <c r="E43" s="90" t="str">
        <f>IF(B43=0,"","Wednesday")</f>
        <v/>
      </c>
      <c r="F43" s="45"/>
      <c r="G43" s="46"/>
      <c r="H43" s="46"/>
      <c r="I43" s="151"/>
      <c r="J43" s="46"/>
      <c r="K43" s="152" t="str">
        <f t="shared" si="44"/>
        <v/>
      </c>
      <c r="L43" s="46"/>
      <c r="M43" s="46" t="str">
        <f t="shared" si="49"/>
        <v/>
      </c>
      <c r="N43" s="301"/>
      <c r="O43" s="171" t="str">
        <f t="shared" si="3"/>
        <v/>
      </c>
      <c r="P43" s="172">
        <f t="shared" si="45"/>
        <v>44767.805587464667</v>
      </c>
      <c r="Q43" s="128">
        <f t="shared" si="4"/>
        <v>44767.805587464667</v>
      </c>
      <c r="R43" s="128">
        <f t="shared" si="50"/>
        <v>0</v>
      </c>
      <c r="S43" s="195" t="str">
        <f t="shared" si="12"/>
        <v/>
      </c>
      <c r="T43" s="128"/>
      <c r="U43" s="128"/>
      <c r="V43" s="129" t="str">
        <f t="shared" si="46"/>
        <v/>
      </c>
      <c r="W43" s="129" t="str">
        <f t="shared" si="47"/>
        <v/>
      </c>
      <c r="X43" s="171">
        <f t="shared" si="51"/>
        <v>0</v>
      </c>
      <c r="Y43" s="171">
        <f t="shared" si="51"/>
        <v>0</v>
      </c>
      <c r="Z43" s="171">
        <f t="shared" si="51"/>
        <v>0</v>
      </c>
      <c r="AA43" s="186">
        <f t="shared" si="9"/>
        <v>0</v>
      </c>
      <c r="AB43" s="173">
        <f t="shared" si="13"/>
        <v>0</v>
      </c>
      <c r="AC43" s="79"/>
      <c r="AD43" s="79"/>
      <c r="AE43" s="76"/>
      <c r="AF43" s="76"/>
    </row>
    <row r="44" spans="1:32">
      <c r="A44" s="1"/>
      <c r="B44" s="4">
        <f t="shared" si="43"/>
        <v>0</v>
      </c>
      <c r="C44" s="29">
        <f t="shared" si="48"/>
        <v>45414</v>
      </c>
      <c r="D44" s="6">
        <f t="shared" ca="1" si="1"/>
        <v>-123</v>
      </c>
      <c r="E44" s="90" t="str">
        <f>IF(B44=0,"","Thursday")</f>
        <v/>
      </c>
      <c r="F44" s="45"/>
      <c r="G44" s="46"/>
      <c r="H44" s="46"/>
      <c r="I44" s="151"/>
      <c r="J44" s="46"/>
      <c r="K44" s="152" t="str">
        <f t="shared" si="44"/>
        <v/>
      </c>
      <c r="L44" s="46"/>
      <c r="M44" s="46" t="str">
        <f t="shared" si="49"/>
        <v/>
      </c>
      <c r="N44" s="301"/>
      <c r="O44" s="171" t="str">
        <f t="shared" si="3"/>
        <v/>
      </c>
      <c r="P44" s="172">
        <f t="shared" si="45"/>
        <v>44767.805587464667</v>
      </c>
      <c r="Q44" s="128">
        <f t="shared" si="4"/>
        <v>44767.805587464667</v>
      </c>
      <c r="R44" s="128">
        <f t="shared" si="50"/>
        <v>0</v>
      </c>
      <c r="S44" s="195" t="str">
        <f t="shared" si="12"/>
        <v/>
      </c>
      <c r="T44" s="128"/>
      <c r="U44" s="128"/>
      <c r="V44" s="129" t="str">
        <f t="shared" si="46"/>
        <v/>
      </c>
      <c r="W44" s="129" t="str">
        <f t="shared" si="47"/>
        <v/>
      </c>
      <c r="X44" s="171">
        <f t="shared" si="51"/>
        <v>0</v>
      </c>
      <c r="Y44" s="171">
        <f t="shared" si="51"/>
        <v>0</v>
      </c>
      <c r="Z44" s="171">
        <f t="shared" si="51"/>
        <v>0</v>
      </c>
      <c r="AA44" s="186">
        <f t="shared" si="9"/>
        <v>0</v>
      </c>
      <c r="AB44" s="173">
        <f t="shared" si="13"/>
        <v>0</v>
      </c>
      <c r="AC44" s="79"/>
      <c r="AD44" s="79"/>
      <c r="AE44" s="76"/>
      <c r="AF44" s="76"/>
    </row>
    <row r="45" spans="1:32">
      <c r="A45" s="1"/>
      <c r="B45" s="4">
        <f t="shared" si="43"/>
        <v>0</v>
      </c>
      <c r="C45" s="29">
        <f t="shared" si="48"/>
        <v>45415</v>
      </c>
      <c r="D45" s="6">
        <f t="shared" ca="1" si="1"/>
        <v>-124</v>
      </c>
      <c r="E45" s="90" t="str">
        <f>IF(B45=0,"","Friday")</f>
        <v/>
      </c>
      <c r="F45" s="45"/>
      <c r="G45" s="46"/>
      <c r="H45" s="46"/>
      <c r="I45" s="151"/>
      <c r="J45" s="46"/>
      <c r="K45" s="152" t="str">
        <f t="shared" si="44"/>
        <v/>
      </c>
      <c r="L45" s="46"/>
      <c r="M45" s="46" t="str">
        <f t="shared" si="49"/>
        <v/>
      </c>
      <c r="N45" s="301"/>
      <c r="O45" s="171" t="str">
        <f t="shared" si="3"/>
        <v/>
      </c>
      <c r="P45" s="172">
        <f t="shared" si="45"/>
        <v>44767.805587464667</v>
      </c>
      <c r="Q45" s="128">
        <f t="shared" si="4"/>
        <v>44767.805587464667</v>
      </c>
      <c r="R45" s="128">
        <f t="shared" si="50"/>
        <v>0</v>
      </c>
      <c r="S45" s="195" t="str">
        <f t="shared" si="12"/>
        <v/>
      </c>
      <c r="T45" s="128"/>
      <c r="U45" s="128"/>
      <c r="V45" s="129" t="str">
        <f t="shared" si="46"/>
        <v/>
      </c>
      <c r="W45" s="129" t="str">
        <f t="shared" si="47"/>
        <v/>
      </c>
      <c r="X45" s="171">
        <f t="shared" si="51"/>
        <v>0</v>
      </c>
      <c r="Y45" s="171">
        <f t="shared" si="51"/>
        <v>0</v>
      </c>
      <c r="Z45" s="171">
        <f t="shared" si="51"/>
        <v>0</v>
      </c>
      <c r="AA45" s="186">
        <f t="shared" si="9"/>
        <v>0</v>
      </c>
      <c r="AB45" s="173">
        <f t="shared" si="13"/>
        <v>0</v>
      </c>
      <c r="AC45" s="79"/>
      <c r="AD45" s="79"/>
      <c r="AE45" s="76"/>
      <c r="AF45" s="76"/>
    </row>
    <row r="46" spans="1:32">
      <c r="A46" s="1"/>
      <c r="B46" s="4">
        <f t="shared" si="43"/>
        <v>0</v>
      </c>
      <c r="C46" s="29">
        <f t="shared" si="48"/>
        <v>45416</v>
      </c>
      <c r="D46" s="6">
        <f t="shared" ca="1" si="1"/>
        <v>-125</v>
      </c>
      <c r="E46" s="90" t="str">
        <f>IF(B46=0,"","Saturday")</f>
        <v/>
      </c>
      <c r="F46" s="45"/>
      <c r="G46" s="46"/>
      <c r="H46" s="46"/>
      <c r="I46" s="151"/>
      <c r="J46" s="46"/>
      <c r="K46" s="152" t="str">
        <f t="shared" si="44"/>
        <v/>
      </c>
      <c r="L46" s="46"/>
      <c r="M46" s="46" t="str">
        <f t="shared" si="49"/>
        <v/>
      </c>
      <c r="N46" s="301"/>
      <c r="O46" s="171" t="str">
        <f t="shared" si="3"/>
        <v/>
      </c>
      <c r="P46" s="172">
        <f t="shared" si="45"/>
        <v>44767.805587464667</v>
      </c>
      <c r="Q46" s="128">
        <f t="shared" si="4"/>
        <v>44767.805587464667</v>
      </c>
      <c r="R46" s="128">
        <f t="shared" si="50"/>
        <v>0</v>
      </c>
      <c r="S46" s="195" t="str">
        <f t="shared" si="12"/>
        <v/>
      </c>
      <c r="T46" s="128"/>
      <c r="U46" s="128"/>
      <c r="V46" s="129" t="str">
        <f t="shared" si="46"/>
        <v/>
      </c>
      <c r="W46" s="129" t="str">
        <f t="shared" si="47"/>
        <v/>
      </c>
      <c r="X46" s="171">
        <f t="shared" si="51"/>
        <v>0</v>
      </c>
      <c r="Y46" s="171">
        <f t="shared" si="51"/>
        <v>0</v>
      </c>
      <c r="Z46" s="171">
        <f t="shared" si="51"/>
        <v>0</v>
      </c>
      <c r="AA46" s="186">
        <f t="shared" si="9"/>
        <v>0</v>
      </c>
      <c r="AB46" s="173">
        <f t="shared" si="13"/>
        <v>0</v>
      </c>
      <c r="AC46" s="79"/>
      <c r="AD46" s="79"/>
      <c r="AE46" s="76"/>
      <c r="AF46" s="76"/>
    </row>
    <row r="47" spans="1:32" ht="17" thickBot="1">
      <c r="A47" s="1"/>
      <c r="B47" s="43">
        <f t="shared" si="43"/>
        <v>0</v>
      </c>
      <c r="C47" s="32">
        <f t="shared" si="48"/>
        <v>45417</v>
      </c>
      <c r="D47" s="44">
        <f t="shared" ca="1" si="1"/>
        <v>-126</v>
      </c>
      <c r="E47" s="93" t="str">
        <f>IF(B47=0,"","Sunday")</f>
        <v/>
      </c>
      <c r="F47" s="45"/>
      <c r="G47" s="46"/>
      <c r="H47" s="46"/>
      <c r="I47" s="151"/>
      <c r="J47" s="46"/>
      <c r="K47" s="152" t="str">
        <f t="shared" si="44"/>
        <v/>
      </c>
      <c r="L47" s="46"/>
      <c r="M47" s="46" t="str">
        <f t="shared" si="49"/>
        <v/>
      </c>
      <c r="N47" s="302"/>
      <c r="O47" s="171" t="str">
        <f t="shared" si="3"/>
        <v/>
      </c>
      <c r="P47" s="172">
        <f t="shared" si="45"/>
        <v>44767.805587464667</v>
      </c>
      <c r="Q47" s="128">
        <f t="shared" si="4"/>
        <v>44767.805587464667</v>
      </c>
      <c r="R47" s="128">
        <f t="shared" si="50"/>
        <v>0</v>
      </c>
      <c r="S47" s="195" t="str">
        <f t="shared" si="12"/>
        <v/>
      </c>
      <c r="T47" s="128"/>
      <c r="U47" s="128"/>
      <c r="V47" s="129" t="str">
        <f t="shared" si="46"/>
        <v/>
      </c>
      <c r="W47" s="129" t="str">
        <f t="shared" si="47"/>
        <v/>
      </c>
      <c r="X47" s="171">
        <f t="shared" si="51"/>
        <v>0</v>
      </c>
      <c r="Y47" s="171">
        <f t="shared" si="51"/>
        <v>0</v>
      </c>
      <c r="Z47" s="171">
        <f t="shared" si="51"/>
        <v>0</v>
      </c>
      <c r="AA47" s="186">
        <f t="shared" si="9"/>
        <v>0</v>
      </c>
      <c r="AB47" s="173">
        <f t="shared" si="13"/>
        <v>0</v>
      </c>
      <c r="AC47" s="79"/>
      <c r="AD47" s="79"/>
      <c r="AE47" s="76"/>
      <c r="AF47" s="76"/>
    </row>
    <row r="48" spans="1:32" ht="17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71" t="str">
        <f t="shared" si="3"/>
        <v/>
      </c>
      <c r="P48" s="79"/>
      <c r="Q48" s="128">
        <f t="shared" si="4"/>
        <v>0</v>
      </c>
      <c r="R48" s="188"/>
      <c r="S48" s="195" t="str">
        <f t="shared" si="12"/>
        <v/>
      </c>
      <c r="T48" s="188"/>
      <c r="U48" s="188"/>
      <c r="V48" s="188"/>
      <c r="W48" s="188"/>
      <c r="X48" s="171"/>
      <c r="Y48" s="171" t="str">
        <f>IF(A48=0,"",G48+Y36)</f>
        <v/>
      </c>
      <c r="Z48" s="171" t="str">
        <f>IF(B48=0,"",H48+Z36)</f>
        <v/>
      </c>
      <c r="AA48" s="186"/>
      <c r="AB48" s="173">
        <f t="shared" si="13"/>
        <v>0</v>
      </c>
      <c r="AC48" s="79"/>
      <c r="AD48" s="79"/>
      <c r="AE48" s="76"/>
      <c r="AF48" s="76"/>
    </row>
    <row r="49" spans="1:32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1.8541681902120708</v>
      </c>
      <c r="G49" s="53">
        <f>H49*1.0936113</f>
        <v>3263.3361192000002</v>
      </c>
      <c r="H49" s="5">
        <f>INT(SUM($O41:$O47))</f>
        <v>2984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71" t="str">
        <f t="shared" si="3"/>
        <v/>
      </c>
      <c r="P49" s="95"/>
      <c r="Q49" s="128">
        <f t="shared" si="4"/>
        <v>0</v>
      </c>
      <c r="R49" s="189"/>
      <c r="S49" s="195" t="str">
        <f t="shared" si="12"/>
        <v/>
      </c>
      <c r="T49" s="189"/>
      <c r="U49" s="189"/>
      <c r="V49" s="189"/>
      <c r="W49" s="189"/>
      <c r="X49" s="171"/>
      <c r="Y49" s="171" t="str">
        <f>IF(A49=0,"",G49+Y37)</f>
        <v/>
      </c>
      <c r="Z49" s="171" t="str">
        <f>IF(B49=0,"",H49+Z37)</f>
        <v/>
      </c>
      <c r="AA49" s="186"/>
      <c r="AB49" s="173">
        <f t="shared" si="13"/>
        <v>0</v>
      </c>
      <c r="AC49" s="79"/>
      <c r="AD49" s="79"/>
      <c r="AE49" s="76"/>
      <c r="AF49" s="76"/>
    </row>
    <row r="50" spans="1:32" ht="17" thickTop="1">
      <c r="A50" s="1"/>
      <c r="B50" s="47">
        <f>IF(B$3&lt;C50,0,C50)</f>
        <v>0</v>
      </c>
      <c r="C50" s="31">
        <f>C47+1</f>
        <v>45418</v>
      </c>
      <c r="D50" s="18">
        <f t="shared" ca="1" si="1"/>
        <v>-127</v>
      </c>
      <c r="E50" s="94" t="str">
        <f>IF(B50=0,"","Monday")</f>
        <v/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71" t="str">
        <f t="shared" si="3"/>
        <v/>
      </c>
      <c r="P50" s="172">
        <f>H$56</f>
        <v>44767.805587464667</v>
      </c>
      <c r="Q50" s="128">
        <f t="shared" si="4"/>
        <v>44767.805587464667</v>
      </c>
      <c r="R50" s="128">
        <f>IF(R$2=3,H50+G50/1.0936133+F50/0.0006213712,IF(R$2=2,H50*1.0936133+G50+F50/0.0005681818,IF(R$2=1,H50*0.0005681818*1.0936133+G50*0.0005681818+F50,"")))</f>
        <v>0</v>
      </c>
      <c r="S50" s="195" t="str">
        <f t="shared" si="12"/>
        <v/>
      </c>
      <c r="T50" s="128"/>
      <c r="U50" s="128"/>
      <c r="V50" s="129" t="str">
        <f>IF(L50="","",IF(R50=0,"",IF(B50=0,"",IF($R$2=3,R50/L50*60/1000,IF($R$2=2,R50/L50*60/1760,IF($R$2=1,R50/L50*60,""))))))</f>
        <v/>
      </c>
      <c r="W50" s="129" t="str">
        <f>IF(R50=0,"",IF(L50="","",V50*L50))</f>
        <v/>
      </c>
      <c r="X50" s="171">
        <f>F50+X47</f>
        <v>0</v>
      </c>
      <c r="Y50" s="171">
        <f>G50+Y47</f>
        <v>0</v>
      </c>
      <c r="Z50" s="171">
        <f>H50+Z47</f>
        <v>0</v>
      </c>
      <c r="AA50" s="186">
        <f t="shared" si="9"/>
        <v>0</v>
      </c>
      <c r="AB50" s="173">
        <f t="shared" si="13"/>
        <v>0</v>
      </c>
      <c r="AC50" s="79"/>
      <c r="AD50" s="79"/>
      <c r="AE50" s="76"/>
      <c r="AF50" s="76"/>
    </row>
    <row r="51" spans="1:32" ht="17" thickBot="1">
      <c r="A51" s="1"/>
      <c r="B51" s="4">
        <f>IF(B$3&lt;C51,0,C51)</f>
        <v>0</v>
      </c>
      <c r="C51" s="29">
        <f>C50+1</f>
        <v>45419</v>
      </c>
      <c r="D51" s="6">
        <f t="shared" ca="1" si="1"/>
        <v>-128</v>
      </c>
      <c r="E51" s="90" t="str">
        <f>IF(B51=0,"","Tuesday")</f>
        <v/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71" t="str">
        <f t="shared" si="3"/>
        <v/>
      </c>
      <c r="P51" s="172">
        <f>H$56</f>
        <v>44767.805587464667</v>
      </c>
      <c r="Q51" s="128">
        <f t="shared" si="4"/>
        <v>44767.805587464667</v>
      </c>
      <c r="R51" s="128">
        <f>IF(R$2=3,H51+G51/1.0936133+F51/0.0006213712,IF(R$2=2,H51*1.0936133+G51+F51/0.0005681818,IF(R$2=1,H51*0.0005681818*1.0936133+G51*0.0005681818+F51,"")))</f>
        <v>0</v>
      </c>
      <c r="S51" s="195" t="str">
        <f t="shared" si="12"/>
        <v/>
      </c>
      <c r="T51" s="128"/>
      <c r="U51" s="128"/>
      <c r="V51" s="129" t="str">
        <f>IF(L51="","",IF(R51=0,"",IF(B51=0,"",IF($R$2=3,R51/L51*60/1000,IF($R$2=2,R51/L51*60/1760,IF($R$2=1,R51/L51*60,""))))))</f>
        <v/>
      </c>
      <c r="W51" s="129" t="str">
        <f>IF(R51=0,"",IF(L51="","",V51*L51))</f>
        <v/>
      </c>
      <c r="X51" s="171">
        <f>F51+X50</f>
        <v>0</v>
      </c>
      <c r="Y51" s="171">
        <f>G51+Y50</f>
        <v>0</v>
      </c>
      <c r="Z51" s="171">
        <f>H51+Z50</f>
        <v>0</v>
      </c>
      <c r="AA51" s="186">
        <f t="shared" si="9"/>
        <v>0</v>
      </c>
      <c r="AB51" s="173">
        <f t="shared" si="13"/>
        <v>0</v>
      </c>
      <c r="AC51" s="79"/>
      <c r="AD51" s="79"/>
      <c r="AE51" s="76"/>
      <c r="AF51" s="76"/>
    </row>
    <row r="52" spans="1:32" ht="18" thickTop="1" thickBot="1">
      <c r="A52" s="25"/>
      <c r="B52" s="12"/>
      <c r="C52" s="33"/>
      <c r="D52" s="50"/>
      <c r="E52" s="89" t="s">
        <v>65</v>
      </c>
      <c r="F52" s="49">
        <f ca="1">G52*0.000568181818</f>
        <v>-6.2137005661934355E-59</v>
      </c>
      <c r="G52" s="15">
        <f ca="1">H52*1.0936113</f>
        <v>-1.0936113000000001E-55</v>
      </c>
      <c r="H52" s="102">
        <f ca="1">IF(SUM(B50:B51)=0,-1E-55,IF(TODAY()&gt;=B50,(AA51-AA47)*1000,-2E-55))</f>
        <v>-9.9999999999999999E-56</v>
      </c>
      <c r="I52" s="250"/>
      <c r="J52" s="507" t="s">
        <v>365</v>
      </c>
      <c r="K52" s="508"/>
      <c r="L52" s="509"/>
      <c r="M52" s="253"/>
      <c r="N52" s="254" t="str">
        <f>IF(R$2=1,"Distance (miles)",IF(R$2=2,"Distance (yds)",IF(R$2=3,"Distance (km)","????")))</f>
        <v>Distance (km)</v>
      </c>
      <c r="O52" s="171"/>
      <c r="P52" s="95" t="s">
        <v>1</v>
      </c>
      <c r="Q52" s="95" t="s">
        <v>2</v>
      </c>
      <c r="R52" s="95" t="s">
        <v>3</v>
      </c>
      <c r="S52" s="95" t="s">
        <v>4</v>
      </c>
      <c r="T52" s="95" t="s">
        <v>5</v>
      </c>
      <c r="U52" s="95" t="s">
        <v>6</v>
      </c>
      <c r="V52" s="95" t="s">
        <v>7</v>
      </c>
      <c r="W52" s="171"/>
      <c r="X52" s="171"/>
      <c r="Y52" s="171"/>
      <c r="Z52" s="186"/>
      <c r="AA52" s="173"/>
      <c r="AB52" s="79"/>
      <c r="AC52" s="79"/>
      <c r="AD52" s="79"/>
      <c r="AE52" s="76"/>
      <c r="AF52" s="76"/>
    </row>
    <row r="53" spans="1:32" ht="17" thickBot="1">
      <c r="A53" s="24"/>
      <c r="B53" s="13"/>
      <c r="C53" s="30"/>
      <c r="D53" s="51"/>
      <c r="E53" s="92" t="s">
        <v>27</v>
      </c>
      <c r="F53" s="52">
        <f>G53*0.0005681818</f>
        <v>-6.2137003693434006E-59</v>
      </c>
      <c r="G53" s="53">
        <f>H53*1.0936113</f>
        <v>-1.0936113000000001E-55</v>
      </c>
      <c r="H53" s="104">
        <f>IF(SUM($O50:$O51)=0,-1E-55,SUM($O50:$O51))</f>
        <v>-9.9999999999999999E-56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190" t="s">
        <v>48</v>
      </c>
      <c r="P53" s="95">
        <f t="shared" ref="P53:V53" si="52">COUNTIFS($E$5:$E$51,P52)</f>
        <v>5</v>
      </c>
      <c r="Q53" s="95">
        <f t="shared" si="52"/>
        <v>5</v>
      </c>
      <c r="R53" s="95">
        <f t="shared" si="52"/>
        <v>4</v>
      </c>
      <c r="S53" s="95">
        <f t="shared" si="52"/>
        <v>4</v>
      </c>
      <c r="T53" s="95">
        <f t="shared" si="52"/>
        <v>4</v>
      </c>
      <c r="U53" s="95">
        <f t="shared" si="52"/>
        <v>4</v>
      </c>
      <c r="V53" s="95">
        <f t="shared" si="52"/>
        <v>4</v>
      </c>
      <c r="W53" s="171"/>
      <c r="X53" s="171"/>
      <c r="Y53" s="171"/>
      <c r="Z53" s="186"/>
      <c r="AA53" s="173"/>
      <c r="AB53" s="79"/>
      <c r="AC53" s="131"/>
      <c r="AD53" s="131"/>
      <c r="AE53" s="76"/>
      <c r="AF53" s="76"/>
    </row>
    <row r="54" spans="1:32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3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190" t="s">
        <v>47</v>
      </c>
      <c r="P54" s="95">
        <f t="shared" ref="P54:V54" ca="1" si="54">COUNTIFS($D$5:$D$51,"&gt;-1",$E$5:$E$51,P52)</f>
        <v>0</v>
      </c>
      <c r="Q54" s="95">
        <f t="shared" ca="1" si="54"/>
        <v>0</v>
      </c>
      <c r="R54" s="95">
        <f t="shared" ca="1" si="54"/>
        <v>0</v>
      </c>
      <c r="S54" s="95">
        <f t="shared" ca="1" si="54"/>
        <v>0</v>
      </c>
      <c r="T54" s="95">
        <f t="shared" ca="1" si="54"/>
        <v>0</v>
      </c>
      <c r="U54" s="95">
        <f t="shared" ca="1" si="54"/>
        <v>0</v>
      </c>
      <c r="V54" s="95">
        <f t="shared" ca="1" si="54"/>
        <v>0</v>
      </c>
      <c r="W54" s="171"/>
      <c r="X54" s="171"/>
      <c r="Y54" s="171"/>
      <c r="Z54" s="186"/>
      <c r="AA54" s="173"/>
      <c r="AB54" s="79"/>
      <c r="AC54" s="79"/>
      <c r="AD54" s="79"/>
      <c r="AE54" s="76"/>
      <c r="AF54" s="76"/>
    </row>
    <row r="55" spans="1:32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3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190" t="s">
        <v>66</v>
      </c>
      <c r="P55" s="95">
        <f t="shared" ref="P55:V55" si="55">COUNTIFS($E$5:$E$51,P52,$R$5:$R$51,"&gt;0")</f>
        <v>0</v>
      </c>
      <c r="Q55" s="95">
        <f t="shared" si="55"/>
        <v>0</v>
      </c>
      <c r="R55" s="95">
        <f t="shared" si="55"/>
        <v>0</v>
      </c>
      <c r="S55" s="95">
        <f t="shared" si="55"/>
        <v>0</v>
      </c>
      <c r="T55" s="95">
        <f t="shared" si="55"/>
        <v>0</v>
      </c>
      <c r="U55" s="95">
        <f t="shared" si="55"/>
        <v>0</v>
      </c>
      <c r="V55" s="95">
        <f t="shared" si="55"/>
        <v>0</v>
      </c>
      <c r="W55" s="171"/>
      <c r="X55" s="171"/>
      <c r="Y55" s="171"/>
      <c r="Z55" s="186"/>
      <c r="AA55" s="173"/>
      <c r="AB55" s="79"/>
      <c r="AC55" s="79"/>
      <c r="AD55" s="79"/>
      <c r="AE55" s="76"/>
      <c r="AF55" s="76"/>
    </row>
    <row r="56" spans="1:32" ht="17" thickBot="1">
      <c r="A56" s="27"/>
      <c r="B56" s="35"/>
      <c r="C56" s="35"/>
      <c r="D56" s="35"/>
      <c r="E56" s="17" t="s">
        <v>41</v>
      </c>
      <c r="F56" s="37">
        <f>G56*0.000568181818</f>
        <v>27.817373892606682</v>
      </c>
      <c r="G56" s="38">
        <f>H56*1.0936113</f>
        <v>48958.578066654503</v>
      </c>
      <c r="H56" s="106">
        <f>SUM(H$53,H40,H31,H22,H49,H13)-1</f>
        <v>44767.805587464667</v>
      </c>
      <c r="I56" s="252"/>
      <c r="J56" s="257" t="str">
        <f>'MY STATS'!AI47</f>
        <v/>
      </c>
      <c r="K56" s="126" t="str">
        <f t="shared" si="53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190" t="s">
        <v>106</v>
      </c>
      <c r="P56" s="95"/>
      <c r="Q56" s="95"/>
      <c r="R56" s="95"/>
      <c r="S56" s="95"/>
      <c r="T56" s="95"/>
      <c r="U56" s="95"/>
      <c r="V56" s="95"/>
      <c r="W56" s="171"/>
      <c r="X56" s="171"/>
      <c r="Y56" s="171"/>
      <c r="Z56" s="186"/>
      <c r="AA56" s="173"/>
      <c r="AB56" s="79"/>
      <c r="AC56" s="79"/>
      <c r="AD56" s="79"/>
      <c r="AE56" s="76"/>
      <c r="AF56" s="276"/>
    </row>
    <row r="57" spans="1:32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190" t="s">
        <v>97</v>
      </c>
      <c r="P57" s="172">
        <f t="shared" ref="P57:V57" si="56">SUMIF($E$5:$E$51,P52,$S$5:$S$51)</f>
        <v>0</v>
      </c>
      <c r="Q57" s="172">
        <f t="shared" si="56"/>
        <v>0</v>
      </c>
      <c r="R57" s="172">
        <f t="shared" si="56"/>
        <v>0</v>
      </c>
      <c r="S57" s="172">
        <f t="shared" si="56"/>
        <v>0</v>
      </c>
      <c r="T57" s="172">
        <f t="shared" si="56"/>
        <v>0</v>
      </c>
      <c r="U57" s="172">
        <f t="shared" si="56"/>
        <v>0</v>
      </c>
      <c r="V57" s="172">
        <f t="shared" si="56"/>
        <v>0</v>
      </c>
      <c r="W57" s="79"/>
      <c r="X57" s="79"/>
      <c r="Y57" s="79"/>
      <c r="Z57" s="95"/>
      <c r="AA57" s="79"/>
      <c r="AB57" s="79"/>
      <c r="AC57" s="79"/>
      <c r="AD57" s="79"/>
      <c r="AE57" s="76"/>
      <c r="AF57" s="76"/>
    </row>
    <row r="58" spans="1:32" ht="18" thickTop="1" thickBot="1">
      <c r="A58" s="63">
        <f>A1</f>
        <v>4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190" t="s">
        <v>98</v>
      </c>
      <c r="P58" s="191">
        <f>IF(COUNTIFS($E$5:$E$51,P52,$L$5:$L$51,"&gt;0")=0,0,(SUMIF($E$5:$E$51,P52,$L$5:$L$51)+IF(SUMIF($E$5:$E$51,P52,$R$5:$R$51)=0,-SUMIF($E$5:$E$51,P52,$L$5:$L$51)))/60)</f>
        <v>0</v>
      </c>
      <c r="Q58" s="191">
        <f t="shared" ref="Q58:V58" si="57">IF(COUNTIFS($E$5:$E$51,Q52,$L$5:$L$51,"&gt;0")=0,0,(SUMIF($E$5:$E$51,Q52,$L$5:$L$51)+IF(SUMIF($E$5:$E$51,Q52,$R$5:$R$51)=0,-SUMIF($E$5:$E$51,Q52,$L$5:$L$51)))/60)</f>
        <v>0</v>
      </c>
      <c r="R58" s="191">
        <f t="shared" si="57"/>
        <v>0</v>
      </c>
      <c r="S58" s="191">
        <f t="shared" si="57"/>
        <v>0</v>
      </c>
      <c r="T58" s="191">
        <f t="shared" si="57"/>
        <v>0</v>
      </c>
      <c r="U58" s="191">
        <f t="shared" si="57"/>
        <v>0</v>
      </c>
      <c r="V58" s="191">
        <f t="shared" si="57"/>
        <v>0</v>
      </c>
      <c r="W58" s="79"/>
      <c r="X58" s="79"/>
      <c r="Y58" s="79"/>
      <c r="Z58" s="95"/>
      <c r="AA58" s="79"/>
      <c r="AB58" s="79"/>
      <c r="AC58" s="79"/>
      <c r="AD58" s="79"/>
      <c r="AE58" s="76"/>
      <c r="AF58" s="76"/>
    </row>
    <row r="59" spans="1:32" ht="18" thickTop="1" thickBot="1">
      <c r="A59" s="66">
        <f>A1</f>
        <v>4</v>
      </c>
      <c r="B59" s="67"/>
      <c r="C59" s="68"/>
      <c r="D59" s="59"/>
      <c r="E59" s="60" t="s">
        <v>52</v>
      </c>
      <c r="F59" s="61">
        <f>G59*0.000568181818</f>
        <v>84.303124514688747</v>
      </c>
      <c r="G59" s="62">
        <f>H59*1.0936113</f>
        <v>148373.49919333169</v>
      </c>
      <c r="H59" s="107">
        <f>VLOOKUP($A$1,'MY STATS'!B$32:K$43,10)</f>
        <v>135672.97557489731</v>
      </c>
      <c r="I59" s="251"/>
      <c r="J59" s="261" t="s">
        <v>57</v>
      </c>
      <c r="K59" s="262" t="str">
        <f t="shared" si="53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190" t="s">
        <v>88</v>
      </c>
      <c r="P59" s="167">
        <f>IFERROR(IF('MY STATS'!$A16=1,P57/P58,IF('MY STATS'!$A16=2,P57/1760/P58,IF('MY STATS'!$A16=3,P57/1000/P58,0))),0)</f>
        <v>0</v>
      </c>
      <c r="Q59" s="167">
        <f>IFERROR(IF('MY STATS'!$A16=1,Q57/Q58,IF('MY STATS'!$A16=2,Q57/1760/Q58,IF('MY STATS'!$A16=3,Q57/1000/Q58,0))),0)</f>
        <v>0</v>
      </c>
      <c r="R59" s="167">
        <f>IFERROR(IF('MY STATS'!$A16=1,R57/R58,IF('MY STATS'!$A16=2,R57/1760/R58,IF('MY STATS'!$A16=3,R57/1000/R58,0))),0)</f>
        <v>0</v>
      </c>
      <c r="S59" s="167">
        <f>IFERROR(IF('MY STATS'!$A16=1,S57/S58,IF('MY STATS'!$A16=2,S57/1760/S58,IF('MY STATS'!$A16=3,S57/1000/S58,0))),0)</f>
        <v>0</v>
      </c>
      <c r="T59" s="167">
        <f>IFERROR(IF('MY STATS'!$A16=1,T57/T58,IF('MY STATS'!$A16=2,T57/1760/T58,IF('MY STATS'!$A16=3,T57/1000/T58,0))),0)</f>
        <v>0</v>
      </c>
      <c r="U59" s="167">
        <f>IFERROR(IF('MY STATS'!$A16=1,U57/U58,IF('MY STATS'!$A16=2,U57/1760/U58,IF('MY STATS'!$A16=3,U57/1000/U58,0))),0)</f>
        <v>0</v>
      </c>
      <c r="V59" s="167">
        <f>IFERROR(IF('MY STATS'!$A16=1,V57/V58,IF('MY STATS'!$A16=2,V57/1760/V58,IF('MY STATS'!$A16=3,V57/1000/V58,0))),0)</f>
        <v>0</v>
      </c>
      <c r="W59" s="79"/>
      <c r="X59" s="79"/>
      <c r="Y59" s="79"/>
      <c r="Z59" s="95"/>
      <c r="AA59" s="79"/>
      <c r="AB59" s="79"/>
      <c r="AC59" s="79"/>
      <c r="AD59" s="79"/>
      <c r="AE59" s="76"/>
      <c r="AF59" s="76"/>
    </row>
    <row r="60" spans="1:32" ht="17" thickTop="1"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95"/>
      <c r="AB60" s="79"/>
      <c r="AC60" s="79"/>
      <c r="AD60" s="79"/>
      <c r="AE60" s="76"/>
      <c r="AF60" s="76"/>
    </row>
    <row r="61" spans="1:32"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6"/>
      <c r="AC61" s="76"/>
      <c r="AD61" s="76"/>
      <c r="AE61" s="76"/>
    </row>
    <row r="62" spans="1:32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6"/>
      <c r="AC62" s="76"/>
      <c r="AD62" s="76"/>
      <c r="AE62" s="76"/>
    </row>
    <row r="63" spans="1:32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6"/>
      <c r="AC63" s="76"/>
      <c r="AD63" s="76"/>
      <c r="AE63" s="76"/>
    </row>
    <row r="64" spans="1:32">
      <c r="O64" s="76"/>
      <c r="P64" s="76"/>
      <c r="Q64" s="76"/>
      <c r="R64" s="76"/>
      <c r="S64" s="76"/>
      <c r="T64" s="76"/>
      <c r="U64" s="76"/>
      <c r="V64" s="76"/>
      <c r="W64" s="76"/>
      <c r="X64" s="77"/>
      <c r="Y64" s="76"/>
      <c r="Z64" s="76"/>
      <c r="AA64" s="76"/>
      <c r="AB64" s="76"/>
      <c r="AC64" s="76"/>
      <c r="AD64" s="76"/>
      <c r="AE64" s="76"/>
    </row>
    <row r="65" spans="15:30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6"/>
      <c r="AC65" s="76"/>
      <c r="AD65" s="76"/>
    </row>
    <row r="66" spans="15:30" customFormat="1"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7"/>
      <c r="AA66" s="76"/>
      <c r="AB66" s="76"/>
      <c r="AC66" s="76"/>
      <c r="AD66" s="76"/>
    </row>
    <row r="67" spans="15:30"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76"/>
      <c r="AC67" s="76"/>
      <c r="AD67" s="76"/>
    </row>
    <row r="68" spans="15:30"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7"/>
      <c r="AB68" s="76"/>
      <c r="AC68" s="76"/>
      <c r="AD68" s="76"/>
    </row>
    <row r="69" spans="15:30"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7"/>
      <c r="AB69" s="76"/>
      <c r="AC69" s="76"/>
      <c r="AD69" s="76"/>
    </row>
    <row r="70" spans="15:30"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76"/>
      <c r="AC70" s="76"/>
      <c r="AD70" s="76"/>
    </row>
    <row r="71" spans="15:30"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7"/>
      <c r="AB71" s="76"/>
      <c r="AC71" s="76"/>
      <c r="AD71" s="76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K5:K11 K50:K51">
    <cfRule type="cellIs" dxfId="12573" priority="2449" stopIfTrue="1" operator="lessThan">
      <formula>0</formula>
    </cfRule>
  </conditionalFormatting>
  <conditionalFormatting sqref="B14:B20 B23:B29 B49:B51 B40:B47 B53 B31:B38 D3 B5:B11">
    <cfRule type="cellIs" dxfId="12572" priority="2450" stopIfTrue="1" operator="notBetween">
      <formula>$B$2</formula>
      <formula>$B$3</formula>
    </cfRule>
  </conditionalFormatting>
  <conditionalFormatting sqref="B14:B20 B23:B29 B49:B51 B40:B47 B53 B31:B38 D3 B5:B11">
    <cfRule type="cellIs" dxfId="12571" priority="2451" operator="greaterThan">
      <formula>$E$3</formula>
    </cfRule>
    <cfRule type="cellIs" dxfId="12570" priority="2452" operator="equal">
      <formula>$E$3</formula>
    </cfRule>
    <cfRule type="cellIs" dxfId="12569" priority="2453" operator="lessThan">
      <formula>$E$3</formula>
    </cfRule>
  </conditionalFormatting>
  <conditionalFormatting sqref="F58:H58 F55:H55">
    <cfRule type="expression" dxfId="12568" priority="2448">
      <formula>$F55&gt;=$F56</formula>
    </cfRule>
  </conditionalFormatting>
  <conditionalFormatting sqref="F5:H10 F14:G20 F23:G29 F38:H38 F41:H47 F11:G11 F32:G37">
    <cfRule type="cellIs" dxfId="12567" priority="2438" stopIfTrue="1" operator="lessThan">
      <formula>0</formula>
    </cfRule>
  </conditionalFormatting>
  <conditionalFormatting sqref="C32:C38 C41:C47 C50:C51 C14:C20 C23:C29 C5:C11">
    <cfRule type="cellIs" dxfId="12566" priority="2443" stopIfTrue="1" operator="notBetween">
      <formula>$B$2</formula>
      <formula>$B$3</formula>
    </cfRule>
  </conditionalFormatting>
  <conditionalFormatting sqref="C41:C47 C50:C51 C32:C38 C14:C20 C23:C29 C5:C11">
    <cfRule type="cellIs" dxfId="12565" priority="2444" operator="greaterThan">
      <formula>$E$3</formula>
    </cfRule>
    <cfRule type="cellIs" dxfId="12564" priority="2445" operator="equal">
      <formula>$E$3</formula>
    </cfRule>
    <cfRule type="cellIs" dxfId="12563" priority="2446" operator="lessThan">
      <formula>$E$3</formula>
    </cfRule>
  </conditionalFormatting>
  <conditionalFormatting sqref="F14:G20 F23:G29 F38:H38 F41:H47 K5:K11 F32:G37 K50:K51">
    <cfRule type="expression" dxfId="12562" priority="2442">
      <formula>$C5&lt;$E$3</formula>
    </cfRule>
  </conditionalFormatting>
  <conditionalFormatting sqref="F5:H10 F14:G20 F23:G29 F38:H38 F41:H47 F11:G11 K5:K11 F32:G37 K50:K51">
    <cfRule type="expression" dxfId="12561" priority="2439">
      <formula>$C5=$E$3</formula>
    </cfRule>
    <cfRule type="expression" dxfId="12560" priority="2440">
      <formula>$C5&lt;$E$3</formula>
    </cfRule>
    <cfRule type="cellIs" dxfId="12559" priority="2441" operator="equal">
      <formula>0</formula>
    </cfRule>
    <cfRule type="expression" dxfId="12558" priority="2447">
      <formula>$C5&gt;$E$3</formula>
    </cfRule>
  </conditionalFormatting>
  <conditionalFormatting sqref="F12:G12">
    <cfRule type="expression" dxfId="12557" priority="2437">
      <formula>$F12&gt;=$F13</formula>
    </cfRule>
  </conditionalFormatting>
  <conditionalFormatting sqref="F21:G21">
    <cfRule type="expression" dxfId="12556" priority="2436">
      <formula>$F21&gt;=$F22</formula>
    </cfRule>
  </conditionalFormatting>
  <conditionalFormatting sqref="F39:H39">
    <cfRule type="expression" dxfId="12555" priority="2435">
      <formula>$F39&gt;=$F40</formula>
    </cfRule>
  </conditionalFormatting>
  <conditionalFormatting sqref="F30:G30">
    <cfRule type="expression" dxfId="12554" priority="2434">
      <formula>$F30&gt;=$F31</formula>
    </cfRule>
  </conditionalFormatting>
  <conditionalFormatting sqref="F48:H48">
    <cfRule type="expression" dxfId="12553" priority="2432" stopIfTrue="1">
      <formula>$H$48=-1E-55</formula>
    </cfRule>
    <cfRule type="expression" dxfId="12552" priority="2433">
      <formula>$F48&gt;=$F49</formula>
    </cfRule>
  </conditionalFormatting>
  <conditionalFormatting sqref="F14:G20 F23:G29 F38:H38 F41:H47 F32:G37">
    <cfRule type="expression" dxfId="12551" priority="2431">
      <formula>$C14&lt;$E$3</formula>
    </cfRule>
  </conditionalFormatting>
  <conditionalFormatting sqref="F14:G20 F5:H10 F23:G29 F38:H38 F41:H47 F11:G11 F32:G37">
    <cfRule type="expression" dxfId="12550" priority="2427">
      <formula>$C5=$E$3</formula>
    </cfRule>
    <cfRule type="expression" dxfId="12549" priority="2428">
      <formula>$C5&lt;$E$3</formula>
    </cfRule>
    <cfRule type="cellIs" dxfId="12548" priority="2429" operator="equal">
      <formula>0</formula>
    </cfRule>
    <cfRule type="expression" dxfId="12547" priority="2430">
      <formula>$C5&gt;$E$3</formula>
    </cfRule>
  </conditionalFormatting>
  <conditionalFormatting sqref="F12:G12">
    <cfRule type="expression" dxfId="12546" priority="2426">
      <formula>$F12&gt;=$F13</formula>
    </cfRule>
  </conditionalFormatting>
  <conditionalFormatting sqref="F21:G21">
    <cfRule type="expression" dxfId="12545" priority="2425">
      <formula>$F21&gt;=$F22</formula>
    </cfRule>
  </conditionalFormatting>
  <conditionalFormatting sqref="F39:H39">
    <cfRule type="expression" dxfId="12544" priority="2424">
      <formula>$F39&gt;=$F40</formula>
    </cfRule>
  </conditionalFormatting>
  <conditionalFormatting sqref="F30:G30">
    <cfRule type="expression" dxfId="12543" priority="2423">
      <formula>$F30&gt;=$F31</formula>
    </cfRule>
  </conditionalFormatting>
  <conditionalFormatting sqref="F48:H48">
    <cfRule type="expression" dxfId="12542" priority="2421" stopIfTrue="1">
      <formula>$E$41=""</formula>
    </cfRule>
    <cfRule type="expression" dxfId="12541" priority="2422">
      <formula>$F48&gt;=$F49</formula>
    </cfRule>
  </conditionalFormatting>
  <conditionalFormatting sqref="F41:H47 K5:K11 K50:K51">
    <cfRule type="expression" dxfId="12540" priority="2420">
      <formula>$E5=""</formula>
    </cfRule>
  </conditionalFormatting>
  <conditionalFormatting sqref="F47:H47">
    <cfRule type="expression" dxfId="12539" priority="2419">
      <formula>$E$46=""</formula>
    </cfRule>
  </conditionalFormatting>
  <conditionalFormatting sqref="F45:H45">
    <cfRule type="expression" dxfId="12538" priority="2418">
      <formula>$E45=""</formula>
    </cfRule>
  </conditionalFormatting>
  <conditionalFormatting sqref="F5:H10 F11:G11">
    <cfRule type="expression" dxfId="12537" priority="2417">
      <formula>$C5&lt;$E$3</formula>
    </cfRule>
  </conditionalFormatting>
  <conditionalFormatting sqref="F5:H10 F11:G11">
    <cfRule type="expression" dxfId="12536" priority="2416">
      <formula>$E5=""</formula>
    </cfRule>
  </conditionalFormatting>
  <conditionalFormatting sqref="F5:H10 F11:G11">
    <cfRule type="expression" dxfId="12535" priority="2412">
      <formula>$C5=$E$3</formula>
    </cfRule>
    <cfRule type="expression" dxfId="12534" priority="2413">
      <formula>$C5&lt;$E$3</formula>
    </cfRule>
    <cfRule type="cellIs" dxfId="12533" priority="2414" operator="equal">
      <formula>0</formula>
    </cfRule>
    <cfRule type="expression" dxfId="12532" priority="2415">
      <formula>$C5&gt;$E$3</formula>
    </cfRule>
  </conditionalFormatting>
  <conditionalFormatting sqref="F5:H10 F11:G11">
    <cfRule type="expression" dxfId="12531" priority="2411">
      <formula>$C5&lt;$E$3</formula>
    </cfRule>
  </conditionalFormatting>
  <conditionalFormatting sqref="F5:H10 F11:G11 K5:K11 K50:K51">
    <cfRule type="expression" dxfId="12530" priority="2410">
      <formula>$E5=""</formula>
    </cfRule>
  </conditionalFormatting>
  <conditionalFormatting sqref="F14:G20">
    <cfRule type="expression" dxfId="12529" priority="2409">
      <formula>$C14&lt;$E$3</formula>
    </cfRule>
  </conditionalFormatting>
  <conditionalFormatting sqref="F14:G20">
    <cfRule type="expression" dxfId="12528" priority="2405">
      <formula>$C14=$E$3</formula>
    </cfRule>
    <cfRule type="expression" dxfId="12527" priority="2406">
      <formula>$C14&lt;$E$3</formula>
    </cfRule>
    <cfRule type="cellIs" dxfId="12526" priority="2407" operator="equal">
      <formula>0</formula>
    </cfRule>
    <cfRule type="expression" dxfId="12525" priority="2408">
      <formula>$C14&gt;$E$3</formula>
    </cfRule>
  </conditionalFormatting>
  <conditionalFormatting sqref="F5:H10 F11:G11">
    <cfRule type="expression" dxfId="12524" priority="2404">
      <formula>$C5&lt;$E$3</formula>
    </cfRule>
  </conditionalFormatting>
  <conditionalFormatting sqref="F5:H10 F11:G11">
    <cfRule type="expression" dxfId="12523" priority="2400">
      <formula>$C5=$E$3</formula>
    </cfRule>
    <cfRule type="expression" dxfId="12522" priority="2401">
      <formula>$C5&lt;$E$3</formula>
    </cfRule>
    <cfRule type="cellIs" dxfId="12521" priority="2402" operator="equal">
      <formula>0</formula>
    </cfRule>
    <cfRule type="expression" dxfId="12520" priority="2403">
      <formula>$C5&gt;$E$3</formula>
    </cfRule>
  </conditionalFormatting>
  <conditionalFormatting sqref="F5:H10 F11:G11">
    <cfRule type="expression" dxfId="12519" priority="2399">
      <formula>$E5=""</formula>
    </cfRule>
  </conditionalFormatting>
  <conditionalFormatting sqref="F5:H10 F11:G11">
    <cfRule type="expression" dxfId="12518" priority="2398">
      <formula>$C5&lt;$E$3</formula>
    </cfRule>
  </conditionalFormatting>
  <conditionalFormatting sqref="F5:H10 F11:G11 K5:K11 K50:K51">
    <cfRule type="expression" dxfId="12517" priority="2397">
      <formula>$E5=""</formula>
    </cfRule>
  </conditionalFormatting>
  <conditionalFormatting sqref="F5:H10 F11:G11">
    <cfRule type="expression" dxfId="12516" priority="2396">
      <formula>$E5=""</formula>
    </cfRule>
  </conditionalFormatting>
  <conditionalFormatting sqref="F5:H10 F11:G11">
    <cfRule type="expression" dxfId="12515" priority="2395">
      <formula>$C5&lt;$E$3</formula>
    </cfRule>
  </conditionalFormatting>
  <conditionalFormatting sqref="F5:H10 F11:G11">
    <cfRule type="expression" dxfId="12514" priority="2394">
      <formula>$E5=""</formula>
    </cfRule>
  </conditionalFormatting>
  <conditionalFormatting sqref="F5:H10 F11:G11">
    <cfRule type="expression" dxfId="12513" priority="2393">
      <formula>$C5&lt;$E$3</formula>
    </cfRule>
  </conditionalFormatting>
  <conditionalFormatting sqref="F5:H10 F11:G11">
    <cfRule type="expression" dxfId="12512" priority="2392">
      <formula>$E5=""</formula>
    </cfRule>
  </conditionalFormatting>
  <conditionalFormatting sqref="F5:H10 F11:G11">
    <cfRule type="expression" dxfId="12511" priority="2391">
      <formula>$C5&lt;$E$3</formula>
    </cfRule>
  </conditionalFormatting>
  <conditionalFormatting sqref="F5:H10 F11:G11">
    <cfRule type="expression" dxfId="12510" priority="2390">
      <formula>$E5=""</formula>
    </cfRule>
  </conditionalFormatting>
  <conditionalFormatting sqref="F14:G20">
    <cfRule type="expression" dxfId="12509" priority="2389">
      <formula>$C14&lt;$E$3</formula>
    </cfRule>
  </conditionalFormatting>
  <conditionalFormatting sqref="F14:G20">
    <cfRule type="expression" dxfId="12508" priority="2385">
      <formula>$C14=$E$3</formula>
    </cfRule>
    <cfRule type="expression" dxfId="12507" priority="2386">
      <formula>$C14&lt;$E$3</formula>
    </cfRule>
    <cfRule type="cellIs" dxfId="12506" priority="2387" operator="equal">
      <formula>0</formula>
    </cfRule>
    <cfRule type="expression" dxfId="12505" priority="2388">
      <formula>$C14&gt;$E$3</formula>
    </cfRule>
  </conditionalFormatting>
  <conditionalFormatting sqref="F14:G20">
    <cfRule type="expression" dxfId="12504" priority="2384">
      <formula>$E14=""</formula>
    </cfRule>
  </conditionalFormatting>
  <conditionalFormatting sqref="F14:G20">
    <cfRule type="expression" dxfId="12503" priority="2383">
      <formula>$C14&lt;$E$3</formula>
    </cfRule>
  </conditionalFormatting>
  <conditionalFormatting sqref="F14:G20">
    <cfRule type="expression" dxfId="12502" priority="2382">
      <formula>$E14=""</formula>
    </cfRule>
  </conditionalFormatting>
  <conditionalFormatting sqref="F14:G20">
    <cfRule type="expression" dxfId="12501" priority="2381">
      <formula>$E14=""</formula>
    </cfRule>
  </conditionalFormatting>
  <conditionalFormatting sqref="F14:G20">
    <cfRule type="expression" dxfId="12500" priority="2380">
      <formula>$C14&lt;$E$3</formula>
    </cfRule>
  </conditionalFormatting>
  <conditionalFormatting sqref="F14:G20">
    <cfRule type="expression" dxfId="12499" priority="2379">
      <formula>$E14=""</formula>
    </cfRule>
  </conditionalFormatting>
  <conditionalFormatting sqref="F14:G20">
    <cfRule type="expression" dxfId="12498" priority="2378">
      <formula>$C14&lt;$E$3</formula>
    </cfRule>
  </conditionalFormatting>
  <conditionalFormatting sqref="F14:G20">
    <cfRule type="expression" dxfId="12497" priority="2377">
      <formula>$E14=""</formula>
    </cfRule>
  </conditionalFormatting>
  <conditionalFormatting sqref="F14:G20">
    <cfRule type="expression" dxfId="12496" priority="2376">
      <formula>$C14&lt;$E$3</formula>
    </cfRule>
  </conditionalFormatting>
  <conditionalFormatting sqref="F14:G20">
    <cfRule type="expression" dxfId="12495" priority="2375">
      <formula>$E14=""</formula>
    </cfRule>
  </conditionalFormatting>
  <conditionalFormatting sqref="F23:G29">
    <cfRule type="expression" dxfId="12494" priority="2374">
      <formula>$C23&lt;$E$3</formula>
    </cfRule>
  </conditionalFormatting>
  <conditionalFormatting sqref="F23:G29">
    <cfRule type="expression" dxfId="12493" priority="2370">
      <formula>$C23=$E$3</formula>
    </cfRule>
    <cfRule type="expression" dxfId="12492" priority="2371">
      <formula>$C23&lt;$E$3</formula>
    </cfRule>
    <cfRule type="cellIs" dxfId="12491" priority="2372" operator="equal">
      <formula>0</formula>
    </cfRule>
    <cfRule type="expression" dxfId="12490" priority="2373">
      <formula>$C23&gt;$E$3</formula>
    </cfRule>
  </conditionalFormatting>
  <conditionalFormatting sqref="F23:G29">
    <cfRule type="expression" dxfId="12489" priority="2369">
      <formula>$C23&lt;$E$3</formula>
    </cfRule>
  </conditionalFormatting>
  <conditionalFormatting sqref="F23:G29">
    <cfRule type="expression" dxfId="12488" priority="2365">
      <formula>$C23=$E$3</formula>
    </cfRule>
    <cfRule type="expression" dxfId="12487" priority="2366">
      <formula>$C23&lt;$E$3</formula>
    </cfRule>
    <cfRule type="cellIs" dxfId="12486" priority="2367" operator="equal">
      <formula>0</formula>
    </cfRule>
    <cfRule type="expression" dxfId="12485" priority="2368">
      <formula>$C23&gt;$E$3</formula>
    </cfRule>
  </conditionalFormatting>
  <conditionalFormatting sqref="F23:G29">
    <cfRule type="expression" dxfId="12484" priority="2364">
      <formula>$E23=""</formula>
    </cfRule>
  </conditionalFormatting>
  <conditionalFormatting sqref="F23:G29">
    <cfRule type="expression" dxfId="12483" priority="2363">
      <formula>$C23&lt;$E$3</formula>
    </cfRule>
  </conditionalFormatting>
  <conditionalFormatting sqref="F23:G29">
    <cfRule type="expression" dxfId="12482" priority="2362">
      <formula>$E23=""</formula>
    </cfRule>
  </conditionalFormatting>
  <conditionalFormatting sqref="F23:G29">
    <cfRule type="expression" dxfId="12481" priority="2361">
      <formula>$E23=""</formula>
    </cfRule>
  </conditionalFormatting>
  <conditionalFormatting sqref="F23:G29">
    <cfRule type="expression" dxfId="12480" priority="2360">
      <formula>$C23&lt;$E$3</formula>
    </cfRule>
  </conditionalFormatting>
  <conditionalFormatting sqref="F23:G29">
    <cfRule type="expression" dxfId="12479" priority="2359">
      <formula>$E23=""</formula>
    </cfRule>
  </conditionalFormatting>
  <conditionalFormatting sqref="F23:G29">
    <cfRule type="expression" dxfId="12478" priority="2358">
      <formula>$C23&lt;$E$3</formula>
    </cfRule>
  </conditionalFormatting>
  <conditionalFormatting sqref="F23:G29">
    <cfRule type="expression" dxfId="12477" priority="2357">
      <formula>$E23=""</formula>
    </cfRule>
  </conditionalFormatting>
  <conditionalFormatting sqref="F23:G29">
    <cfRule type="expression" dxfId="12476" priority="2356">
      <formula>$C23&lt;$E$3</formula>
    </cfRule>
  </conditionalFormatting>
  <conditionalFormatting sqref="F23:G29">
    <cfRule type="expression" dxfId="12475" priority="2355">
      <formula>$E23=""</formula>
    </cfRule>
  </conditionalFormatting>
  <conditionalFormatting sqref="F38:H38 F32:G37">
    <cfRule type="expression" dxfId="12474" priority="2354">
      <formula>$C32&lt;$E$3</formula>
    </cfRule>
  </conditionalFormatting>
  <conditionalFormatting sqref="F38:H38 F32:G37">
    <cfRule type="expression" dxfId="12473" priority="2350">
      <formula>$C32=$E$3</formula>
    </cfRule>
    <cfRule type="expression" dxfId="12472" priority="2351">
      <formula>$C32&lt;$E$3</formula>
    </cfRule>
    <cfRule type="cellIs" dxfId="12471" priority="2352" operator="equal">
      <formula>0</formula>
    </cfRule>
    <cfRule type="expression" dxfId="12470" priority="2353">
      <formula>$C32&gt;$E$3</formula>
    </cfRule>
  </conditionalFormatting>
  <conditionalFormatting sqref="F38:H38 F32:G37">
    <cfRule type="expression" dxfId="12469" priority="2349">
      <formula>$C32&lt;$E$3</formula>
    </cfRule>
  </conditionalFormatting>
  <conditionalFormatting sqref="F38:H38 F32:G37">
    <cfRule type="expression" dxfId="12468" priority="2345">
      <formula>$C32=$E$3</formula>
    </cfRule>
    <cfRule type="expression" dxfId="12467" priority="2346">
      <formula>$C32&lt;$E$3</formula>
    </cfRule>
    <cfRule type="cellIs" dxfId="12466" priority="2347" operator="equal">
      <formula>0</formula>
    </cfRule>
    <cfRule type="expression" dxfId="12465" priority="2348">
      <formula>$C32&gt;$E$3</formula>
    </cfRule>
  </conditionalFormatting>
  <conditionalFormatting sqref="F38:H38 F32:G37">
    <cfRule type="expression" dxfId="12464" priority="2344">
      <formula>$E32=""</formula>
    </cfRule>
  </conditionalFormatting>
  <conditionalFormatting sqref="F38:H38 F32:G37">
    <cfRule type="expression" dxfId="12463" priority="2343">
      <formula>$C32&lt;$E$3</formula>
    </cfRule>
  </conditionalFormatting>
  <conditionalFormatting sqref="F38:H38 F32:G37">
    <cfRule type="expression" dxfId="12462" priority="2342">
      <formula>$E32=""</formula>
    </cfRule>
  </conditionalFormatting>
  <conditionalFormatting sqref="F38:H38 F32:G37">
    <cfRule type="expression" dxfId="12461" priority="2341">
      <formula>$E32=""</formula>
    </cfRule>
  </conditionalFormatting>
  <conditionalFormatting sqref="F38:H38 F32:G37">
    <cfRule type="expression" dxfId="12460" priority="2340">
      <formula>$C32&lt;$E$3</formula>
    </cfRule>
  </conditionalFormatting>
  <conditionalFormatting sqref="F38:H38 F32:G37">
    <cfRule type="expression" dxfId="12459" priority="2339">
      <formula>$E32=""</formula>
    </cfRule>
  </conditionalFormatting>
  <conditionalFormatting sqref="F38:H38 F32:G37">
    <cfRule type="expression" dxfId="12458" priority="2338">
      <formula>$C32&lt;$E$3</formula>
    </cfRule>
  </conditionalFormatting>
  <conditionalFormatting sqref="F38:H38 F32:G37">
    <cfRule type="expression" dxfId="12457" priority="2337">
      <formula>$E32=""</formula>
    </cfRule>
  </conditionalFormatting>
  <conditionalFormatting sqref="F38:H38 F32:G37">
    <cfRule type="expression" dxfId="12456" priority="2336">
      <formula>$C32&lt;$E$3</formula>
    </cfRule>
  </conditionalFormatting>
  <conditionalFormatting sqref="F38:H38 F32:G37">
    <cfRule type="expression" dxfId="12455" priority="2335">
      <formula>$E32=""</formula>
    </cfRule>
  </conditionalFormatting>
  <conditionalFormatting sqref="F41:H47">
    <cfRule type="expression" dxfId="12454" priority="2334">
      <formula>$C41&lt;$E$3</formula>
    </cfRule>
  </conditionalFormatting>
  <conditionalFormatting sqref="F41:H47">
    <cfRule type="expression" dxfId="12453" priority="2330">
      <formula>$C41=$E$3</formula>
    </cfRule>
    <cfRule type="expression" dxfId="12452" priority="2331">
      <formula>$C41&lt;$E$3</formula>
    </cfRule>
    <cfRule type="cellIs" dxfId="12451" priority="2332" operator="equal">
      <formula>0</formula>
    </cfRule>
    <cfRule type="expression" dxfId="12450" priority="2333">
      <formula>$C41&gt;$E$3</formula>
    </cfRule>
  </conditionalFormatting>
  <conditionalFormatting sqref="F41:H47">
    <cfRule type="expression" dxfId="12449" priority="2329">
      <formula>$C41&lt;$E$3</formula>
    </cfRule>
  </conditionalFormatting>
  <conditionalFormatting sqref="F41:H47">
    <cfRule type="expression" dxfId="12448" priority="2325">
      <formula>$C41=$E$3</formula>
    </cfRule>
    <cfRule type="expression" dxfId="12447" priority="2326">
      <formula>$C41&lt;$E$3</formula>
    </cfRule>
    <cfRule type="cellIs" dxfId="12446" priority="2327" operator="equal">
      <formula>0</formula>
    </cfRule>
    <cfRule type="expression" dxfId="12445" priority="2328">
      <formula>$C41&gt;$E$3</formula>
    </cfRule>
  </conditionalFormatting>
  <conditionalFormatting sqref="F41:H47">
    <cfRule type="expression" dxfId="12444" priority="2324">
      <formula>$E41=""</formula>
    </cfRule>
  </conditionalFormatting>
  <conditionalFormatting sqref="F41:H47">
    <cfRule type="expression" dxfId="12443" priority="2323">
      <formula>$C41&lt;$E$3</formula>
    </cfRule>
  </conditionalFormatting>
  <conditionalFormatting sqref="F41:H47">
    <cfRule type="expression" dxfId="12442" priority="2322">
      <formula>$E41=""</formula>
    </cfRule>
  </conditionalFormatting>
  <conditionalFormatting sqref="F41:H47">
    <cfRule type="expression" dxfId="12441" priority="2321">
      <formula>$E41=""</formula>
    </cfRule>
  </conditionalFormatting>
  <conditionalFormatting sqref="F41:H47">
    <cfRule type="expression" dxfId="12440" priority="2320">
      <formula>$C41&lt;$E$3</formula>
    </cfRule>
  </conditionalFormatting>
  <conditionalFormatting sqref="F41:H47">
    <cfRule type="expression" dxfId="12439" priority="2319">
      <formula>$E41=""</formula>
    </cfRule>
  </conditionalFormatting>
  <conditionalFormatting sqref="F41:H47">
    <cfRule type="expression" dxfId="12438" priority="2318">
      <formula>$C41&lt;$E$3</formula>
    </cfRule>
  </conditionalFormatting>
  <conditionalFormatting sqref="F41:H47">
    <cfRule type="expression" dxfId="12437" priority="2317">
      <formula>$E41=""</formula>
    </cfRule>
  </conditionalFormatting>
  <conditionalFormatting sqref="F41:H47">
    <cfRule type="expression" dxfId="12436" priority="2316">
      <formula>$C41&lt;$E$3</formula>
    </cfRule>
  </conditionalFormatting>
  <conditionalFormatting sqref="F41:H47">
    <cfRule type="expression" dxfId="12435" priority="2315">
      <formula>$E41=""</formula>
    </cfRule>
  </conditionalFormatting>
  <conditionalFormatting sqref="F50:H51">
    <cfRule type="cellIs" dxfId="12434" priority="2314" stopIfTrue="1" operator="lessThan">
      <formula>0</formula>
    </cfRule>
  </conditionalFormatting>
  <conditionalFormatting sqref="F50:H51">
    <cfRule type="expression" dxfId="12433" priority="2313">
      <formula>$C50&lt;$E$3</formula>
    </cfRule>
  </conditionalFormatting>
  <conditionalFormatting sqref="F50:H51">
    <cfRule type="expression" dxfId="12432" priority="2309">
      <formula>$C50=$E$3</formula>
    </cfRule>
    <cfRule type="expression" dxfId="12431" priority="2310">
      <formula>$C50&lt;$E$3</formula>
    </cfRule>
    <cfRule type="cellIs" dxfId="12430" priority="2311" operator="equal">
      <formula>0</formula>
    </cfRule>
    <cfRule type="expression" dxfId="12429" priority="2312">
      <formula>$C50&gt;$E$3</formula>
    </cfRule>
  </conditionalFormatting>
  <conditionalFormatting sqref="F50:H51">
    <cfRule type="expression" dxfId="12428" priority="2308">
      <formula>$C50&lt;$E$3</formula>
    </cfRule>
  </conditionalFormatting>
  <conditionalFormatting sqref="F50:H51">
    <cfRule type="expression" dxfId="12427" priority="2304">
      <formula>$C50=$E$3</formula>
    </cfRule>
    <cfRule type="expression" dxfId="12426" priority="2305">
      <formula>$C50&lt;$E$3</formula>
    </cfRule>
    <cfRule type="cellIs" dxfId="12425" priority="2306" operator="equal">
      <formula>0</formula>
    </cfRule>
    <cfRule type="expression" dxfId="12424" priority="2307">
      <formula>$C50&gt;$E$3</formula>
    </cfRule>
  </conditionalFormatting>
  <conditionalFormatting sqref="F50:H51">
    <cfRule type="expression" dxfId="12423" priority="2303">
      <formula>$C50&lt;$E$3</formula>
    </cfRule>
  </conditionalFormatting>
  <conditionalFormatting sqref="F50:H51">
    <cfRule type="expression" dxfId="12422" priority="2299">
      <formula>$C50=$E$3</formula>
    </cfRule>
    <cfRule type="expression" dxfId="12421" priority="2300">
      <formula>$C50&lt;$E$3</formula>
    </cfRule>
    <cfRule type="cellIs" dxfId="12420" priority="2301" operator="equal">
      <formula>0</formula>
    </cfRule>
    <cfRule type="expression" dxfId="12419" priority="2302">
      <formula>$C50&gt;$E$3</formula>
    </cfRule>
  </conditionalFormatting>
  <conditionalFormatting sqref="F50:H51">
    <cfRule type="expression" dxfId="12418" priority="2298">
      <formula>$C50&lt;$E$3</formula>
    </cfRule>
  </conditionalFormatting>
  <conditionalFormatting sqref="F50:H51">
    <cfRule type="expression" dxfId="12417" priority="2294">
      <formula>$C50=$E$3</formula>
    </cfRule>
    <cfRule type="expression" dxfId="12416" priority="2295">
      <formula>$C50&lt;$E$3</formula>
    </cfRule>
    <cfRule type="cellIs" dxfId="12415" priority="2296" operator="equal">
      <formula>0</formula>
    </cfRule>
    <cfRule type="expression" dxfId="12414" priority="2297">
      <formula>$C50&gt;$E$3</formula>
    </cfRule>
  </conditionalFormatting>
  <conditionalFormatting sqref="F50:H51">
    <cfRule type="expression" dxfId="12413" priority="2293">
      <formula>$E50=""</formula>
    </cfRule>
  </conditionalFormatting>
  <conditionalFormatting sqref="F50:H51">
    <cfRule type="expression" dxfId="12412" priority="2292">
      <formula>$C50&lt;$E$3</formula>
    </cfRule>
  </conditionalFormatting>
  <conditionalFormatting sqref="F50:H51">
    <cfRule type="expression" dxfId="12411" priority="2291">
      <formula>$E50=""</formula>
    </cfRule>
  </conditionalFormatting>
  <conditionalFormatting sqref="F50:H51">
    <cfRule type="expression" dxfId="12410" priority="2290">
      <formula>$E50=""</formula>
    </cfRule>
  </conditionalFormatting>
  <conditionalFormatting sqref="F50:H51">
    <cfRule type="expression" dxfId="12409" priority="2289">
      <formula>$C50&lt;$E$3</formula>
    </cfRule>
  </conditionalFormatting>
  <conditionalFormatting sqref="F50:H51">
    <cfRule type="expression" dxfId="12408" priority="2288">
      <formula>$E50=""</formula>
    </cfRule>
  </conditionalFormatting>
  <conditionalFormatting sqref="F50:H51">
    <cfRule type="expression" dxfId="12407" priority="2287">
      <formula>$C50&lt;$E$3</formula>
    </cfRule>
  </conditionalFormatting>
  <conditionalFormatting sqref="F50:H51">
    <cfRule type="expression" dxfId="12406" priority="2286">
      <formula>$E50=""</formula>
    </cfRule>
  </conditionalFormatting>
  <conditionalFormatting sqref="F50:H51">
    <cfRule type="expression" dxfId="12405" priority="2285">
      <formula>$C50&lt;$E$3</formula>
    </cfRule>
  </conditionalFormatting>
  <conditionalFormatting sqref="F50:H51">
    <cfRule type="expression" dxfId="12404" priority="2284">
      <formula>$E50=""</formula>
    </cfRule>
  </conditionalFormatting>
  <conditionalFormatting sqref="E14:E20 E5:E11 E41:E47 E32:E38 E23:E29 E50:E51">
    <cfRule type="containsText" dxfId="12403" priority="2277" operator="containsText" text="Sa">
      <formula>NOT(ISERROR(SEARCH("Sa",E5)))</formula>
    </cfRule>
    <cfRule type="containsText" dxfId="12402" priority="2279" operator="containsText" text="Fr">
      <formula>NOT(ISERROR(SEARCH("Fr",E5)))</formula>
    </cfRule>
    <cfRule type="containsText" dxfId="12401" priority="2280" operator="containsText" text="Th">
      <formula>NOT(ISERROR(SEARCH("Th",E5)))</formula>
    </cfRule>
  </conditionalFormatting>
  <conditionalFormatting sqref="E14:E20 E5:E11 E41:E47 E32:E38 E23:E29 E50:E51">
    <cfRule type="containsText" dxfId="12400" priority="2281" operator="containsText" text="Wed">
      <formula>NOT(ISERROR(SEARCH("Wed",E5)))</formula>
    </cfRule>
    <cfRule type="containsText" dxfId="12399" priority="2282" operator="containsText" text="Tu">
      <formula>NOT(ISERROR(SEARCH("Tu",E5)))</formula>
    </cfRule>
    <cfRule type="beginsWith" dxfId="12398" priority="2283" operator="beginsWith" text="M">
      <formula>LEFT(E5,1)="M"</formula>
    </cfRule>
  </conditionalFormatting>
  <conditionalFormatting sqref="E14:E20 E5:E11 E41:E47 E32:E38 E23:E29 E50:E51">
    <cfRule type="containsText" dxfId="12397" priority="2278" operator="containsText" text="Su">
      <formula>NOT(ISERROR(SEARCH("Su",E5)))</formula>
    </cfRule>
  </conditionalFormatting>
  <conditionalFormatting sqref="C4">
    <cfRule type="cellIs" dxfId="12396" priority="2273" stopIfTrue="1" operator="notBetween">
      <formula>$B$2</formula>
      <formula>$B$3</formula>
    </cfRule>
  </conditionalFormatting>
  <conditionalFormatting sqref="C4">
    <cfRule type="cellIs" dxfId="12395" priority="2274" operator="greaterThan">
      <formula>$E$3</formula>
    </cfRule>
    <cfRule type="cellIs" dxfId="12394" priority="2275" operator="equal">
      <formula>$E$3</formula>
    </cfRule>
    <cfRule type="cellIs" dxfId="12393" priority="2276" operator="lessThan">
      <formula>$E$3</formula>
    </cfRule>
  </conditionalFormatting>
  <conditionalFormatting sqref="J5:J11 J50:J51 L5:M11 L50:N51">
    <cfRule type="cellIs" dxfId="12392" priority="2272" stopIfTrue="1" operator="lessThan">
      <formula>0</formula>
    </cfRule>
  </conditionalFormatting>
  <conditionalFormatting sqref="J5:J11 J50:J51 L5:M11 L50:M51">
    <cfRule type="expression" dxfId="12391" priority="2270">
      <formula>$C5&lt;$E$3</formula>
    </cfRule>
  </conditionalFormatting>
  <conditionalFormatting sqref="J5:J11 J50:J51 L5:M11 L50:M51">
    <cfRule type="expression" dxfId="12390" priority="2267">
      <formula>$C5=$E$3</formula>
    </cfRule>
    <cfRule type="expression" dxfId="12389" priority="2268">
      <formula>$C5&lt;$E$3</formula>
    </cfRule>
    <cfRule type="cellIs" dxfId="12388" priority="2269" operator="equal">
      <formula>0</formula>
    </cfRule>
    <cfRule type="expression" dxfId="12387" priority="2271">
      <formula>$C5&gt;$E$3</formula>
    </cfRule>
  </conditionalFormatting>
  <conditionalFormatting sqref="J5:J11 J50:J51 L5:M11 L50:M51">
    <cfRule type="expression" dxfId="12386" priority="2266">
      <formula>$E5=""</formula>
    </cfRule>
  </conditionalFormatting>
  <conditionalFormatting sqref="J5:J11 J50:J51 L5:M11 L50:M51">
    <cfRule type="expression" dxfId="12385" priority="2265">
      <formula>$E5=""</formula>
    </cfRule>
  </conditionalFormatting>
  <conditionalFormatting sqref="J5:J11 J50:J51 L5:M11 L50:M51">
    <cfRule type="expression" dxfId="12384" priority="2264">
      <formula>$E5=""</formula>
    </cfRule>
  </conditionalFormatting>
  <conditionalFormatting sqref="M5:M11 M50:M51">
    <cfRule type="expression" dxfId="12383" priority="2263">
      <formula>$C5&lt;$E$3</formula>
    </cfRule>
  </conditionalFormatting>
  <conditionalFormatting sqref="M5:M11 M50:M51">
    <cfRule type="expression" dxfId="12382" priority="2259">
      <formula>$C5=$E$3</formula>
    </cfRule>
    <cfRule type="expression" dxfId="12381" priority="2260">
      <formula>$C5&lt;$E$3</formula>
    </cfRule>
    <cfRule type="cellIs" dxfId="12380" priority="2261" operator="equal">
      <formula>0</formula>
    </cfRule>
    <cfRule type="expression" dxfId="12379" priority="2262">
      <formula>$C5&gt;$E$3</formula>
    </cfRule>
  </conditionalFormatting>
  <conditionalFormatting sqref="M5:M11 M50:M51">
    <cfRule type="expression" dxfId="12378" priority="2258">
      <formula>$C5&lt;$E$3</formula>
    </cfRule>
  </conditionalFormatting>
  <conditionalFormatting sqref="M5:M11 M50:M51">
    <cfRule type="expression" dxfId="12377" priority="2254">
      <formula>$C5=$E$3</formula>
    </cfRule>
    <cfRule type="expression" dxfId="12376" priority="2255">
      <formula>$C5&lt;$E$3</formula>
    </cfRule>
    <cfRule type="cellIs" dxfId="12375" priority="2256" operator="equal">
      <formula>0</formula>
    </cfRule>
    <cfRule type="expression" dxfId="12374" priority="2257">
      <formula>$C5&gt;$E$3</formula>
    </cfRule>
  </conditionalFormatting>
  <conditionalFormatting sqref="M5:M11 M50:M51">
    <cfRule type="expression" dxfId="12373" priority="2253">
      <formula>$C5&lt;$E$3</formula>
    </cfRule>
  </conditionalFormatting>
  <conditionalFormatting sqref="M5:M11 M50:M51">
    <cfRule type="expression" dxfId="12372" priority="2249">
      <formula>$C5=$E$3</formula>
    </cfRule>
    <cfRule type="expression" dxfId="12371" priority="2250">
      <formula>$C5&lt;$E$3</formula>
    </cfRule>
    <cfRule type="cellIs" dxfId="12370" priority="2251" operator="equal">
      <formula>0</formula>
    </cfRule>
    <cfRule type="expression" dxfId="12369" priority="2252">
      <formula>$C5&gt;$E$3</formula>
    </cfRule>
  </conditionalFormatting>
  <conditionalFormatting sqref="M5:M11 M50:M51">
    <cfRule type="expression" dxfId="12368" priority="2248">
      <formula>$C5&lt;$E$3</formula>
    </cfRule>
  </conditionalFormatting>
  <conditionalFormatting sqref="M5:M11 M50:M51">
    <cfRule type="expression" dxfId="12367" priority="2244">
      <formula>$C5=$E$3</formula>
    </cfRule>
    <cfRule type="expression" dxfId="12366" priority="2245">
      <formula>$C5&lt;$E$3</formula>
    </cfRule>
    <cfRule type="cellIs" dxfId="12365" priority="2246" operator="equal">
      <formula>0</formula>
    </cfRule>
    <cfRule type="expression" dxfId="12364" priority="2247">
      <formula>$C5&gt;$E$3</formula>
    </cfRule>
  </conditionalFormatting>
  <conditionalFormatting sqref="M5:M11 M50:M51">
    <cfRule type="expression" dxfId="12363" priority="2243">
      <formula>$E5=""</formula>
    </cfRule>
  </conditionalFormatting>
  <conditionalFormatting sqref="M5:M11 M50:M51">
    <cfRule type="expression" dxfId="12362" priority="2242">
      <formula>$C5&lt;$E$3</formula>
    </cfRule>
  </conditionalFormatting>
  <conditionalFormatting sqref="M5:M11 M50:M51">
    <cfRule type="expression" dxfId="12361" priority="2241">
      <formula>$E5=""</formula>
    </cfRule>
  </conditionalFormatting>
  <conditionalFormatting sqref="M5:M11 M50:M51">
    <cfRule type="expression" dxfId="12360" priority="2240">
      <formula>$E5=""</formula>
    </cfRule>
  </conditionalFormatting>
  <conditionalFormatting sqref="M5:M11 M50:M51">
    <cfRule type="expression" dxfId="12359" priority="2239">
      <formula>$C5&lt;$E$3</formula>
    </cfRule>
  </conditionalFormatting>
  <conditionalFormatting sqref="M5:M11 M50:M51">
    <cfRule type="expression" dxfId="12358" priority="2238">
      <formula>$E5=""</formula>
    </cfRule>
  </conditionalFormatting>
  <conditionalFormatting sqref="M5:M11 M50:M51">
    <cfRule type="expression" dxfId="12357" priority="2237">
      <formula>$C5&lt;$E$3</formula>
    </cfRule>
  </conditionalFormatting>
  <conditionalFormatting sqref="M5:M11 M50:M51">
    <cfRule type="expression" dxfId="12356" priority="2236">
      <formula>$E5=""</formula>
    </cfRule>
  </conditionalFormatting>
  <conditionalFormatting sqref="M5:M11 M50:M51">
    <cfRule type="expression" dxfId="12355" priority="2235">
      <formula>$C5&lt;$E$3</formula>
    </cfRule>
  </conditionalFormatting>
  <conditionalFormatting sqref="M5:M11 M50:M51">
    <cfRule type="expression" dxfId="12354" priority="2234">
      <formula>$E5=""</formula>
    </cfRule>
  </conditionalFormatting>
  <conditionalFormatting sqref="M5:M11 M50:M51">
    <cfRule type="expression" dxfId="12353" priority="2233">
      <formula>$C5&lt;$E$3</formula>
    </cfRule>
  </conditionalFormatting>
  <conditionalFormatting sqref="M5:M11 M50:M51">
    <cfRule type="expression" dxfId="12352" priority="2229">
      <formula>$C5=$E$3</formula>
    </cfRule>
    <cfRule type="expression" dxfId="12351" priority="2230">
      <formula>$C5&lt;$E$3</formula>
    </cfRule>
    <cfRule type="cellIs" dxfId="12350" priority="2231" operator="equal">
      <formula>0</formula>
    </cfRule>
    <cfRule type="expression" dxfId="12349" priority="2232">
      <formula>$C5&gt;$E$3</formula>
    </cfRule>
  </conditionalFormatting>
  <conditionalFormatting sqref="M5:M11 M50:M51">
    <cfRule type="expression" dxfId="12348" priority="2228">
      <formula>$C5&lt;$E$3</formula>
    </cfRule>
  </conditionalFormatting>
  <conditionalFormatting sqref="M5:M11 M50:M51">
    <cfRule type="expression" dxfId="12347" priority="2224">
      <formula>$C5=$E$3</formula>
    </cfRule>
    <cfRule type="expression" dxfId="12346" priority="2225">
      <formula>$C5&lt;$E$3</formula>
    </cfRule>
    <cfRule type="cellIs" dxfId="12345" priority="2226" operator="equal">
      <formula>0</formula>
    </cfRule>
    <cfRule type="expression" dxfId="12344" priority="2227">
      <formula>$C5&gt;$E$3</formula>
    </cfRule>
  </conditionalFormatting>
  <conditionalFormatting sqref="M5:M11 M50:M51">
    <cfRule type="expression" dxfId="12343" priority="2223">
      <formula>$C5&lt;$E$3</formula>
    </cfRule>
  </conditionalFormatting>
  <conditionalFormatting sqref="M5:M11 M50:M51">
    <cfRule type="expression" dxfId="12342" priority="2219">
      <formula>$C5=$E$3</formula>
    </cfRule>
    <cfRule type="expression" dxfId="12341" priority="2220">
      <formula>$C5&lt;$E$3</formula>
    </cfRule>
    <cfRule type="cellIs" dxfId="12340" priority="2221" operator="equal">
      <formula>0</formula>
    </cfRule>
    <cfRule type="expression" dxfId="12339" priority="2222">
      <formula>$C5&gt;$E$3</formula>
    </cfRule>
  </conditionalFormatting>
  <conditionalFormatting sqref="M5:M11 M50:M51">
    <cfRule type="expression" dxfId="12338" priority="2218">
      <formula>$C5&lt;$E$3</formula>
    </cfRule>
  </conditionalFormatting>
  <conditionalFormatting sqref="M5:M11 M50:M51">
    <cfRule type="expression" dxfId="12337" priority="2214">
      <formula>$C5=$E$3</formula>
    </cfRule>
    <cfRule type="expression" dxfId="12336" priority="2215">
      <formula>$C5&lt;$E$3</formula>
    </cfRule>
    <cfRule type="cellIs" dxfId="12335" priority="2216" operator="equal">
      <formula>0</formula>
    </cfRule>
    <cfRule type="expression" dxfId="12334" priority="2217">
      <formula>$C5&gt;$E$3</formula>
    </cfRule>
  </conditionalFormatting>
  <conditionalFormatting sqref="M5:M11 M50:M51">
    <cfRule type="expression" dxfId="12333" priority="2213">
      <formula>$E5=""</formula>
    </cfRule>
  </conditionalFormatting>
  <conditionalFormatting sqref="M5:M11 M50:M51">
    <cfRule type="expression" dxfId="12332" priority="2212">
      <formula>$C5&lt;$E$3</formula>
    </cfRule>
  </conditionalFormatting>
  <conditionalFormatting sqref="M5:M11 M50:M51">
    <cfRule type="expression" dxfId="12331" priority="2211">
      <formula>$E5=""</formula>
    </cfRule>
  </conditionalFormatting>
  <conditionalFormatting sqref="M5:M11 M50:M51">
    <cfRule type="expression" dxfId="12330" priority="2210">
      <formula>$E5=""</formula>
    </cfRule>
  </conditionalFormatting>
  <conditionalFormatting sqref="M5:M11 M50:M51">
    <cfRule type="expression" dxfId="12329" priority="2209">
      <formula>$C5&lt;$E$3</formula>
    </cfRule>
  </conditionalFormatting>
  <conditionalFormatting sqref="M5:M11 M50:M51">
    <cfRule type="expression" dxfId="12328" priority="2208">
      <formula>$E5=""</formula>
    </cfRule>
  </conditionalFormatting>
  <conditionalFormatting sqref="M5:M11 M50:M51">
    <cfRule type="expression" dxfId="12327" priority="2207">
      <formula>$C5&lt;$E$3</formula>
    </cfRule>
  </conditionalFormatting>
  <conditionalFormatting sqref="M5:M11 M50:M51">
    <cfRule type="expression" dxfId="12326" priority="2206">
      <formula>$E5=""</formula>
    </cfRule>
  </conditionalFormatting>
  <conditionalFormatting sqref="M5:M11 M50:M51">
    <cfRule type="expression" dxfId="12325" priority="2205">
      <formula>$C5&lt;$E$3</formula>
    </cfRule>
  </conditionalFormatting>
  <conditionalFormatting sqref="M5:M11 M50:M51">
    <cfRule type="expression" dxfId="12324" priority="2204">
      <formula>$E5=""</formula>
    </cfRule>
  </conditionalFormatting>
  <conditionalFormatting sqref="K10">
    <cfRule type="expression" dxfId="12323" priority="2203">
      <formula>$C10&lt;$E$3</formula>
    </cfRule>
  </conditionalFormatting>
  <conditionalFormatting sqref="K10">
    <cfRule type="expression" dxfId="12322" priority="2199">
      <formula>$C10=$E$3</formula>
    </cfRule>
    <cfRule type="expression" dxfId="12321" priority="2200">
      <formula>$C10&lt;$E$3</formula>
    </cfRule>
    <cfRule type="cellIs" dxfId="12320" priority="2201" operator="equal">
      <formula>0</formula>
    </cfRule>
    <cfRule type="expression" dxfId="12319" priority="2202">
      <formula>$C10&gt;$E$3</formula>
    </cfRule>
  </conditionalFormatting>
  <conditionalFormatting sqref="K10">
    <cfRule type="expression" dxfId="12318" priority="2198">
      <formula>$C10&lt;$E$3</formula>
    </cfRule>
  </conditionalFormatting>
  <conditionalFormatting sqref="K10">
    <cfRule type="expression" dxfId="12317" priority="2194">
      <formula>$C10=$E$3</formula>
    </cfRule>
    <cfRule type="expression" dxfId="12316" priority="2195">
      <formula>$C10&lt;$E$3</formula>
    </cfRule>
    <cfRule type="cellIs" dxfId="12315" priority="2196" operator="equal">
      <formula>0</formula>
    </cfRule>
    <cfRule type="expression" dxfId="12314" priority="2197">
      <formula>$C10&gt;$E$3</formula>
    </cfRule>
  </conditionalFormatting>
  <conditionalFormatting sqref="K10">
    <cfRule type="expression" dxfId="12313" priority="2193">
      <formula>$C10&lt;$E$3</formula>
    </cfRule>
  </conditionalFormatting>
  <conditionalFormatting sqref="K10">
    <cfRule type="expression" dxfId="12312" priority="2189">
      <formula>$C10=$E$3</formula>
    </cfRule>
    <cfRule type="expression" dxfId="12311" priority="2190">
      <formula>$C10&lt;$E$3</formula>
    </cfRule>
    <cfRule type="cellIs" dxfId="12310" priority="2191" operator="equal">
      <formula>0</formula>
    </cfRule>
    <cfRule type="expression" dxfId="12309" priority="2192">
      <formula>$C10&gt;$E$3</formula>
    </cfRule>
  </conditionalFormatting>
  <conditionalFormatting sqref="K10">
    <cfRule type="expression" dxfId="12308" priority="2188">
      <formula>$C10&lt;$E$3</formula>
    </cfRule>
  </conditionalFormatting>
  <conditionalFormatting sqref="K10">
    <cfRule type="expression" dxfId="12307" priority="2184">
      <formula>$C10=$E$3</formula>
    </cfRule>
    <cfRule type="expression" dxfId="12306" priority="2185">
      <formula>$C10&lt;$E$3</formula>
    </cfRule>
    <cfRule type="cellIs" dxfId="12305" priority="2186" operator="equal">
      <formula>0</formula>
    </cfRule>
    <cfRule type="expression" dxfId="12304" priority="2187">
      <formula>$C10&gt;$E$3</formula>
    </cfRule>
  </conditionalFormatting>
  <conditionalFormatting sqref="K10">
    <cfRule type="expression" dxfId="12303" priority="2183">
      <formula>$E10=""</formula>
    </cfRule>
  </conditionalFormatting>
  <conditionalFormatting sqref="K10">
    <cfRule type="expression" dxfId="12302" priority="2182">
      <formula>$C10&lt;$E$3</formula>
    </cfRule>
  </conditionalFormatting>
  <conditionalFormatting sqref="K10">
    <cfRule type="expression" dxfId="12301" priority="2181">
      <formula>$E10=""</formula>
    </cfRule>
  </conditionalFormatting>
  <conditionalFormatting sqref="K10">
    <cfRule type="expression" dxfId="12300" priority="2180">
      <formula>$E10=""</formula>
    </cfRule>
  </conditionalFormatting>
  <conditionalFormatting sqref="K10">
    <cfRule type="expression" dxfId="12299" priority="2179">
      <formula>$C10&lt;$E$3</formula>
    </cfRule>
  </conditionalFormatting>
  <conditionalFormatting sqref="K10">
    <cfRule type="expression" dxfId="12298" priority="2178">
      <formula>$E10=""</formula>
    </cfRule>
  </conditionalFormatting>
  <conditionalFormatting sqref="K10">
    <cfRule type="expression" dxfId="12297" priority="2177">
      <formula>$C10&lt;$E$3</formula>
    </cfRule>
  </conditionalFormatting>
  <conditionalFormatting sqref="K10">
    <cfRule type="expression" dxfId="12296" priority="2176">
      <formula>$E10=""</formula>
    </cfRule>
  </conditionalFormatting>
  <conditionalFormatting sqref="K10">
    <cfRule type="expression" dxfId="12295" priority="2175">
      <formula>$C10&lt;$E$3</formula>
    </cfRule>
  </conditionalFormatting>
  <conditionalFormatting sqref="K10">
    <cfRule type="expression" dxfId="12294" priority="2174">
      <formula>$E10=""</formula>
    </cfRule>
  </conditionalFormatting>
  <conditionalFormatting sqref="K10">
    <cfRule type="expression" dxfId="12293" priority="2173">
      <formula>$C10&lt;$E$3</formula>
    </cfRule>
  </conditionalFormatting>
  <conditionalFormatting sqref="K10">
    <cfRule type="expression" dxfId="12292" priority="2169">
      <formula>$C10=$E$3</formula>
    </cfRule>
    <cfRule type="expression" dxfId="12291" priority="2170">
      <formula>$C10&lt;$E$3</formula>
    </cfRule>
    <cfRule type="cellIs" dxfId="12290" priority="2171" operator="equal">
      <formula>0</formula>
    </cfRule>
    <cfRule type="expression" dxfId="12289" priority="2172">
      <formula>$C10&gt;$E$3</formula>
    </cfRule>
  </conditionalFormatting>
  <conditionalFormatting sqref="K10">
    <cfRule type="expression" dxfId="12288" priority="2168">
      <formula>$C10&lt;$E$3</formula>
    </cfRule>
  </conditionalFormatting>
  <conditionalFormatting sqref="K10">
    <cfRule type="expression" dxfId="12287" priority="2164">
      <formula>$C10=$E$3</formula>
    </cfRule>
    <cfRule type="expression" dxfId="12286" priority="2165">
      <formula>$C10&lt;$E$3</formula>
    </cfRule>
    <cfRule type="cellIs" dxfId="12285" priority="2166" operator="equal">
      <formula>0</formula>
    </cfRule>
    <cfRule type="expression" dxfId="12284" priority="2167">
      <formula>$C10&gt;$E$3</formula>
    </cfRule>
  </conditionalFormatting>
  <conditionalFormatting sqref="K10">
    <cfRule type="expression" dxfId="12283" priority="2163">
      <formula>$C10&lt;$E$3</formula>
    </cfRule>
  </conditionalFormatting>
  <conditionalFormatting sqref="K10">
    <cfRule type="expression" dxfId="12282" priority="2159">
      <formula>$C10=$E$3</formula>
    </cfRule>
    <cfRule type="expression" dxfId="12281" priority="2160">
      <formula>$C10&lt;$E$3</formula>
    </cfRule>
    <cfRule type="cellIs" dxfId="12280" priority="2161" operator="equal">
      <formula>0</formula>
    </cfRule>
    <cfRule type="expression" dxfId="12279" priority="2162">
      <formula>$C10&gt;$E$3</formula>
    </cfRule>
  </conditionalFormatting>
  <conditionalFormatting sqref="K10">
    <cfRule type="expression" dxfId="12278" priority="2158">
      <formula>$C10&lt;$E$3</formula>
    </cfRule>
  </conditionalFormatting>
  <conditionalFormatting sqref="K10">
    <cfRule type="expression" dxfId="12277" priority="2154">
      <formula>$C10=$E$3</formula>
    </cfRule>
    <cfRule type="expression" dxfId="12276" priority="2155">
      <formula>$C10&lt;$E$3</formula>
    </cfRule>
    <cfRule type="cellIs" dxfId="12275" priority="2156" operator="equal">
      <formula>0</formula>
    </cfRule>
    <cfRule type="expression" dxfId="12274" priority="2157">
      <formula>$C10&gt;$E$3</formula>
    </cfRule>
  </conditionalFormatting>
  <conditionalFormatting sqref="K10">
    <cfRule type="expression" dxfId="12273" priority="2153">
      <formula>$E10=""</formula>
    </cfRule>
  </conditionalFormatting>
  <conditionalFormatting sqref="K10">
    <cfRule type="expression" dxfId="12272" priority="2152">
      <formula>$C10&lt;$E$3</formula>
    </cfRule>
  </conditionalFormatting>
  <conditionalFormatting sqref="K10">
    <cfRule type="expression" dxfId="12271" priority="2151">
      <formula>$E10=""</formula>
    </cfRule>
  </conditionalFormatting>
  <conditionalFormatting sqref="K10">
    <cfRule type="expression" dxfId="12270" priority="2150">
      <formula>$E10=""</formula>
    </cfRule>
  </conditionalFormatting>
  <conditionalFormatting sqref="K10">
    <cfRule type="expression" dxfId="12269" priority="2149">
      <formula>$C10&lt;$E$3</formula>
    </cfRule>
  </conditionalFormatting>
  <conditionalFormatting sqref="K10">
    <cfRule type="expression" dxfId="12268" priority="2148">
      <formula>$E10=""</formula>
    </cfRule>
  </conditionalFormatting>
  <conditionalFormatting sqref="K10">
    <cfRule type="expression" dxfId="12267" priority="2147">
      <formula>$C10&lt;$E$3</formula>
    </cfRule>
  </conditionalFormatting>
  <conditionalFormatting sqref="K10">
    <cfRule type="expression" dxfId="12266" priority="2146">
      <formula>$E10=""</formula>
    </cfRule>
  </conditionalFormatting>
  <conditionalFormatting sqref="K10">
    <cfRule type="expression" dxfId="12265" priority="2145">
      <formula>$C10&lt;$E$3</formula>
    </cfRule>
  </conditionalFormatting>
  <conditionalFormatting sqref="K10">
    <cfRule type="expression" dxfId="12264" priority="2144">
      <formula>$E10=""</formula>
    </cfRule>
  </conditionalFormatting>
  <conditionalFormatting sqref="K5:K9">
    <cfRule type="expression" dxfId="12263" priority="2143">
      <formula>$C5&lt;$E$3</formula>
    </cfRule>
  </conditionalFormatting>
  <conditionalFormatting sqref="K5:K9">
    <cfRule type="expression" dxfId="12262" priority="2139">
      <formula>$C5=$E$3</formula>
    </cfRule>
    <cfRule type="expression" dxfId="12261" priority="2140">
      <formula>$C5&lt;$E$3</formula>
    </cfRule>
    <cfRule type="cellIs" dxfId="12260" priority="2141" operator="equal">
      <formula>0</formula>
    </cfRule>
    <cfRule type="expression" dxfId="12259" priority="2142">
      <formula>$C5&gt;$E$3</formula>
    </cfRule>
  </conditionalFormatting>
  <conditionalFormatting sqref="K5:K9">
    <cfRule type="expression" dxfId="12258" priority="2138">
      <formula>$C5&lt;$E$3</formula>
    </cfRule>
  </conditionalFormatting>
  <conditionalFormatting sqref="K5:K9">
    <cfRule type="expression" dxfId="12257" priority="2134">
      <formula>$C5=$E$3</formula>
    </cfRule>
    <cfRule type="expression" dxfId="12256" priority="2135">
      <formula>$C5&lt;$E$3</formula>
    </cfRule>
    <cfRule type="cellIs" dxfId="12255" priority="2136" operator="equal">
      <formula>0</formula>
    </cfRule>
    <cfRule type="expression" dxfId="12254" priority="2137">
      <formula>$C5&gt;$E$3</formula>
    </cfRule>
  </conditionalFormatting>
  <conditionalFormatting sqref="K5:K9">
    <cfRule type="expression" dxfId="12253" priority="2133">
      <formula>$C5&lt;$E$3</formula>
    </cfRule>
  </conditionalFormatting>
  <conditionalFormatting sqref="K5:K9">
    <cfRule type="expression" dxfId="12252" priority="2129">
      <formula>$C5=$E$3</formula>
    </cfRule>
    <cfRule type="expression" dxfId="12251" priority="2130">
      <formula>$C5&lt;$E$3</formula>
    </cfRule>
    <cfRule type="cellIs" dxfId="12250" priority="2131" operator="equal">
      <formula>0</formula>
    </cfRule>
    <cfRule type="expression" dxfId="12249" priority="2132">
      <formula>$C5&gt;$E$3</formula>
    </cfRule>
  </conditionalFormatting>
  <conditionalFormatting sqref="K5:K9">
    <cfRule type="expression" dxfId="12248" priority="2128">
      <formula>$C5&lt;$E$3</formula>
    </cfRule>
  </conditionalFormatting>
  <conditionalFormatting sqref="K5:K9">
    <cfRule type="expression" dxfId="12247" priority="2124">
      <formula>$C5=$E$3</formula>
    </cfRule>
    <cfRule type="expression" dxfId="12246" priority="2125">
      <formula>$C5&lt;$E$3</formula>
    </cfRule>
    <cfRule type="cellIs" dxfId="12245" priority="2126" operator="equal">
      <formula>0</formula>
    </cfRule>
    <cfRule type="expression" dxfId="12244" priority="2127">
      <formula>$C5&gt;$E$3</formula>
    </cfRule>
  </conditionalFormatting>
  <conditionalFormatting sqref="K5:K9">
    <cfRule type="expression" dxfId="12243" priority="2123">
      <formula>$E5=""</formula>
    </cfRule>
  </conditionalFormatting>
  <conditionalFormatting sqref="K5:K9">
    <cfRule type="expression" dxfId="12242" priority="2122">
      <formula>$C5&lt;$E$3</formula>
    </cfRule>
  </conditionalFormatting>
  <conditionalFormatting sqref="K5:K9">
    <cfRule type="expression" dxfId="12241" priority="2121">
      <formula>$E5=""</formula>
    </cfRule>
  </conditionalFormatting>
  <conditionalFormatting sqref="K5:K9">
    <cfRule type="expression" dxfId="12240" priority="2120">
      <formula>$E5=""</formula>
    </cfRule>
  </conditionalFormatting>
  <conditionalFormatting sqref="K5:K9">
    <cfRule type="expression" dxfId="12239" priority="2119">
      <formula>$C5&lt;$E$3</formula>
    </cfRule>
  </conditionalFormatting>
  <conditionalFormatting sqref="K5:K9">
    <cfRule type="expression" dxfId="12238" priority="2118">
      <formula>$E5=""</formula>
    </cfRule>
  </conditionalFormatting>
  <conditionalFormatting sqref="K5:K9">
    <cfRule type="expression" dxfId="12237" priority="2117">
      <formula>$C5&lt;$E$3</formula>
    </cfRule>
  </conditionalFormatting>
  <conditionalFormatting sqref="K5:K9">
    <cfRule type="expression" dxfId="12236" priority="2116">
      <formula>$E5=""</formula>
    </cfRule>
  </conditionalFormatting>
  <conditionalFormatting sqref="K5:K9">
    <cfRule type="expression" dxfId="12235" priority="2115">
      <formula>$C5&lt;$E$3</formula>
    </cfRule>
  </conditionalFormatting>
  <conditionalFormatting sqref="K5:K9">
    <cfRule type="expression" dxfId="12234" priority="2114">
      <formula>$E5=""</formula>
    </cfRule>
  </conditionalFormatting>
  <conditionalFormatting sqref="K5:K9">
    <cfRule type="expression" dxfId="12233" priority="2113">
      <formula>$C5&lt;$E$3</formula>
    </cfRule>
  </conditionalFormatting>
  <conditionalFormatting sqref="K5:K9">
    <cfRule type="expression" dxfId="12232" priority="2109">
      <formula>$C5=$E$3</formula>
    </cfRule>
    <cfRule type="expression" dxfId="12231" priority="2110">
      <formula>$C5&lt;$E$3</formula>
    </cfRule>
    <cfRule type="cellIs" dxfId="12230" priority="2111" operator="equal">
      <formula>0</formula>
    </cfRule>
    <cfRule type="expression" dxfId="12229" priority="2112">
      <formula>$C5&gt;$E$3</formula>
    </cfRule>
  </conditionalFormatting>
  <conditionalFormatting sqref="K5:K9">
    <cfRule type="expression" dxfId="12228" priority="2108">
      <formula>$C5&lt;$E$3</formula>
    </cfRule>
  </conditionalFormatting>
  <conditionalFormatting sqref="K5:K9">
    <cfRule type="expression" dxfId="12227" priority="2104">
      <formula>$C5=$E$3</formula>
    </cfRule>
    <cfRule type="expression" dxfId="12226" priority="2105">
      <formula>$C5&lt;$E$3</formula>
    </cfRule>
    <cfRule type="cellIs" dxfId="12225" priority="2106" operator="equal">
      <formula>0</formula>
    </cfRule>
    <cfRule type="expression" dxfId="12224" priority="2107">
      <formula>$C5&gt;$E$3</formula>
    </cfRule>
  </conditionalFormatting>
  <conditionalFormatting sqref="K5:K9">
    <cfRule type="expression" dxfId="12223" priority="2103">
      <formula>$C5&lt;$E$3</formula>
    </cfRule>
  </conditionalFormatting>
  <conditionalFormatting sqref="K5:K9">
    <cfRule type="expression" dxfId="12222" priority="2099">
      <formula>$C5=$E$3</formula>
    </cfRule>
    <cfRule type="expression" dxfId="12221" priority="2100">
      <formula>$C5&lt;$E$3</formula>
    </cfRule>
    <cfRule type="cellIs" dxfId="12220" priority="2101" operator="equal">
      <formula>0</formula>
    </cfRule>
    <cfRule type="expression" dxfId="12219" priority="2102">
      <formula>$C5&gt;$E$3</formula>
    </cfRule>
  </conditionalFormatting>
  <conditionalFormatting sqref="K5:K9">
    <cfRule type="expression" dxfId="12218" priority="2098">
      <formula>$C5&lt;$E$3</formula>
    </cfRule>
  </conditionalFormatting>
  <conditionalFormatting sqref="K5:K9">
    <cfRule type="expression" dxfId="12217" priority="2094">
      <formula>$C5=$E$3</formula>
    </cfRule>
    <cfRule type="expression" dxfId="12216" priority="2095">
      <formula>$C5&lt;$E$3</formula>
    </cfRule>
    <cfRule type="cellIs" dxfId="12215" priority="2096" operator="equal">
      <formula>0</formula>
    </cfRule>
    <cfRule type="expression" dxfId="12214" priority="2097">
      <formula>$C5&gt;$E$3</formula>
    </cfRule>
  </conditionalFormatting>
  <conditionalFormatting sqref="K5:K9">
    <cfRule type="expression" dxfId="12213" priority="2093">
      <formula>$E5=""</formula>
    </cfRule>
  </conditionalFormatting>
  <conditionalFormatting sqref="K5:K9">
    <cfRule type="expression" dxfId="12212" priority="2092">
      <formula>$C5&lt;$E$3</formula>
    </cfRule>
  </conditionalFormatting>
  <conditionalFormatting sqref="K5:K9">
    <cfRule type="expression" dxfId="12211" priority="2091">
      <formula>$E5=""</formula>
    </cfRule>
  </conditionalFormatting>
  <conditionalFormatting sqref="K5:K9">
    <cfRule type="expression" dxfId="12210" priority="2090">
      <formula>$E5=""</formula>
    </cfRule>
  </conditionalFormatting>
  <conditionalFormatting sqref="K5:K9">
    <cfRule type="expression" dxfId="12209" priority="2089">
      <formula>$C5&lt;$E$3</formula>
    </cfRule>
  </conditionalFormatting>
  <conditionalFormatting sqref="K5:K9">
    <cfRule type="expression" dxfId="12208" priority="2088">
      <formula>$E5=""</formula>
    </cfRule>
  </conditionalFormatting>
  <conditionalFormatting sqref="K5:K9">
    <cfRule type="expression" dxfId="12207" priority="2087">
      <formula>$C5&lt;$E$3</formula>
    </cfRule>
  </conditionalFormatting>
  <conditionalFormatting sqref="K5:K9">
    <cfRule type="expression" dxfId="12206" priority="2086">
      <formula>$E5=""</formula>
    </cfRule>
  </conditionalFormatting>
  <conditionalFormatting sqref="K5:K9">
    <cfRule type="expression" dxfId="12205" priority="2085">
      <formula>$C5&lt;$E$3</formula>
    </cfRule>
  </conditionalFormatting>
  <conditionalFormatting sqref="K5:K9">
    <cfRule type="expression" dxfId="12204" priority="2084">
      <formula>$E5=""</formula>
    </cfRule>
  </conditionalFormatting>
  <conditionalFormatting sqref="H23:H29 H32 H14:H20 H11">
    <cfRule type="cellIs" dxfId="12203" priority="2083" stopIfTrue="1" operator="lessThan">
      <formula>0</formula>
    </cfRule>
  </conditionalFormatting>
  <conditionalFormatting sqref="H12">
    <cfRule type="expression" dxfId="12202" priority="2082">
      <formula>$F12&gt;=$F13</formula>
    </cfRule>
  </conditionalFormatting>
  <conditionalFormatting sqref="H21">
    <cfRule type="expression" dxfId="12201" priority="2081">
      <formula>$F21&gt;=$F22</formula>
    </cfRule>
  </conditionalFormatting>
  <conditionalFormatting sqref="H30">
    <cfRule type="expression" dxfId="12200" priority="2080">
      <formula>$F30&gt;=$F31</formula>
    </cfRule>
  </conditionalFormatting>
  <conditionalFormatting sqref="H12">
    <cfRule type="expression" dxfId="12199" priority="2079">
      <formula>$F12&gt;=$F13</formula>
    </cfRule>
  </conditionalFormatting>
  <conditionalFormatting sqref="H21">
    <cfRule type="expression" dxfId="12198" priority="2078">
      <formula>$F21&gt;=$F22</formula>
    </cfRule>
  </conditionalFormatting>
  <conditionalFormatting sqref="H30">
    <cfRule type="expression" dxfId="12197" priority="2077">
      <formula>$F30&gt;=$F31</formula>
    </cfRule>
  </conditionalFormatting>
  <conditionalFormatting sqref="H11">
    <cfRule type="expression" dxfId="12196" priority="2075">
      <formula>$C11&lt;$E$3</formula>
    </cfRule>
  </conditionalFormatting>
  <conditionalFormatting sqref="H11">
    <cfRule type="expression" dxfId="12195" priority="2072">
      <formula>$C11=$E$3</formula>
    </cfRule>
    <cfRule type="expression" dxfId="12194" priority="2073">
      <formula>$C11&lt;$E$3</formula>
    </cfRule>
    <cfRule type="cellIs" dxfId="12193" priority="2074" operator="equal">
      <formula>0</formula>
    </cfRule>
    <cfRule type="expression" dxfId="12192" priority="2076">
      <formula>$C11&gt;$E$3</formula>
    </cfRule>
  </conditionalFormatting>
  <conditionalFormatting sqref="H11">
    <cfRule type="expression" dxfId="12191" priority="2071">
      <formula>$C11&lt;$E$3</formula>
    </cfRule>
  </conditionalFormatting>
  <conditionalFormatting sqref="H11">
    <cfRule type="expression" dxfId="12190" priority="2067">
      <formula>$C11=$E$3</formula>
    </cfRule>
    <cfRule type="expression" dxfId="12189" priority="2068">
      <formula>$C11&lt;$E$3</formula>
    </cfRule>
    <cfRule type="cellIs" dxfId="12188" priority="2069" operator="equal">
      <formula>0</formula>
    </cfRule>
    <cfRule type="expression" dxfId="12187" priority="2070">
      <formula>$C11&gt;$E$3</formula>
    </cfRule>
  </conditionalFormatting>
  <conditionalFormatting sqref="H11">
    <cfRule type="expression" dxfId="12186" priority="2066">
      <formula>$C11&lt;$E$3</formula>
    </cfRule>
  </conditionalFormatting>
  <conditionalFormatting sqref="H11">
    <cfRule type="expression" dxfId="12185" priority="2062">
      <formula>$C11=$E$3</formula>
    </cfRule>
    <cfRule type="expression" dxfId="12184" priority="2063">
      <formula>$C11&lt;$E$3</formula>
    </cfRule>
    <cfRule type="cellIs" dxfId="12183" priority="2064" operator="equal">
      <formula>0</formula>
    </cfRule>
    <cfRule type="expression" dxfId="12182" priority="2065">
      <formula>$C11&gt;$E$3</formula>
    </cfRule>
  </conditionalFormatting>
  <conditionalFormatting sqref="H11">
    <cfRule type="expression" dxfId="12181" priority="2061">
      <formula>$C11&lt;$E$3</formula>
    </cfRule>
  </conditionalFormatting>
  <conditionalFormatting sqref="H11">
    <cfRule type="expression" dxfId="12180" priority="2057">
      <formula>$C11=$E$3</formula>
    </cfRule>
    <cfRule type="expression" dxfId="12179" priority="2058">
      <formula>$C11&lt;$E$3</formula>
    </cfRule>
    <cfRule type="cellIs" dxfId="12178" priority="2059" operator="equal">
      <formula>0</formula>
    </cfRule>
    <cfRule type="expression" dxfId="12177" priority="2060">
      <formula>$C11&gt;$E$3</formula>
    </cfRule>
  </conditionalFormatting>
  <conditionalFormatting sqref="H11">
    <cfRule type="expression" dxfId="12176" priority="2056">
      <formula>$E11=""</formula>
    </cfRule>
  </conditionalFormatting>
  <conditionalFormatting sqref="H11">
    <cfRule type="expression" dxfId="12175" priority="2055">
      <formula>$C11&lt;$E$3</formula>
    </cfRule>
  </conditionalFormatting>
  <conditionalFormatting sqref="H11">
    <cfRule type="expression" dxfId="12174" priority="2054">
      <formula>$E11=""</formula>
    </cfRule>
  </conditionalFormatting>
  <conditionalFormatting sqref="H11">
    <cfRule type="expression" dxfId="12173" priority="2053">
      <formula>$E11=""</formula>
    </cfRule>
  </conditionalFormatting>
  <conditionalFormatting sqref="H11">
    <cfRule type="expression" dxfId="12172" priority="2052">
      <formula>$C11&lt;$E$3</formula>
    </cfRule>
  </conditionalFormatting>
  <conditionalFormatting sqref="H11">
    <cfRule type="expression" dxfId="12171" priority="2051">
      <formula>$E11=""</formula>
    </cfRule>
  </conditionalFormatting>
  <conditionalFormatting sqref="H11">
    <cfRule type="expression" dxfId="12170" priority="2050">
      <formula>$C11&lt;$E$3</formula>
    </cfRule>
  </conditionalFormatting>
  <conditionalFormatting sqref="H11">
    <cfRule type="expression" dxfId="12169" priority="2049">
      <formula>$E11=""</formula>
    </cfRule>
  </conditionalFormatting>
  <conditionalFormatting sqref="H11">
    <cfRule type="expression" dxfId="12168" priority="2048">
      <formula>$C11&lt;$E$3</formula>
    </cfRule>
  </conditionalFormatting>
  <conditionalFormatting sqref="H11">
    <cfRule type="expression" dxfId="12167" priority="2047">
      <formula>$E11=""</formula>
    </cfRule>
  </conditionalFormatting>
  <conditionalFormatting sqref="H14:H20">
    <cfRule type="expression" dxfId="12166" priority="2045">
      <formula>$C14&lt;$E$3</formula>
    </cfRule>
  </conditionalFormatting>
  <conditionalFormatting sqref="H14:H20">
    <cfRule type="expression" dxfId="12165" priority="2042">
      <formula>$C14=$E$3</formula>
    </cfRule>
    <cfRule type="expression" dxfId="12164" priority="2043">
      <formula>$C14&lt;$E$3</formula>
    </cfRule>
    <cfRule type="cellIs" dxfId="12163" priority="2044" operator="equal">
      <formula>0</formula>
    </cfRule>
    <cfRule type="expression" dxfId="12162" priority="2046">
      <formula>$C14&gt;$E$3</formula>
    </cfRule>
  </conditionalFormatting>
  <conditionalFormatting sqref="H14:H20">
    <cfRule type="expression" dxfId="12161" priority="2041">
      <formula>$C14&lt;$E$3</formula>
    </cfRule>
  </conditionalFormatting>
  <conditionalFormatting sqref="H14:H20">
    <cfRule type="expression" dxfId="12160" priority="2037">
      <formula>$C14=$E$3</formula>
    </cfRule>
    <cfRule type="expression" dxfId="12159" priority="2038">
      <formula>$C14&lt;$E$3</formula>
    </cfRule>
    <cfRule type="cellIs" dxfId="12158" priority="2039" operator="equal">
      <formula>0</formula>
    </cfRule>
    <cfRule type="expression" dxfId="12157" priority="2040">
      <formula>$C14&gt;$E$3</formula>
    </cfRule>
  </conditionalFormatting>
  <conditionalFormatting sqref="H14:H20">
    <cfRule type="expression" dxfId="12156" priority="2036">
      <formula>$C14&lt;$E$3</formula>
    </cfRule>
  </conditionalFormatting>
  <conditionalFormatting sqref="H14:H20">
    <cfRule type="expression" dxfId="12155" priority="2032">
      <formula>$C14=$E$3</formula>
    </cfRule>
    <cfRule type="expression" dxfId="12154" priority="2033">
      <formula>$C14&lt;$E$3</formula>
    </cfRule>
    <cfRule type="cellIs" dxfId="12153" priority="2034" operator="equal">
      <formula>0</formula>
    </cfRule>
    <cfRule type="expression" dxfId="12152" priority="2035">
      <formula>$C14&gt;$E$3</formula>
    </cfRule>
  </conditionalFormatting>
  <conditionalFormatting sqref="H14:H20">
    <cfRule type="expression" dxfId="12151" priority="2031">
      <formula>$C14&lt;$E$3</formula>
    </cfRule>
  </conditionalFormatting>
  <conditionalFormatting sqref="H14:H20">
    <cfRule type="expression" dxfId="12150" priority="2027">
      <formula>$C14=$E$3</formula>
    </cfRule>
    <cfRule type="expression" dxfId="12149" priority="2028">
      <formula>$C14&lt;$E$3</formula>
    </cfRule>
    <cfRule type="cellIs" dxfId="12148" priority="2029" operator="equal">
      <formula>0</formula>
    </cfRule>
    <cfRule type="expression" dxfId="12147" priority="2030">
      <formula>$C14&gt;$E$3</formula>
    </cfRule>
  </conditionalFormatting>
  <conditionalFormatting sqref="H14:H20">
    <cfRule type="expression" dxfId="12146" priority="2026">
      <formula>$E14=""</formula>
    </cfRule>
  </conditionalFormatting>
  <conditionalFormatting sqref="H14:H20">
    <cfRule type="expression" dxfId="12145" priority="2025">
      <formula>$C14&lt;$E$3</formula>
    </cfRule>
  </conditionalFormatting>
  <conditionalFormatting sqref="H14:H20">
    <cfRule type="expression" dxfId="12144" priority="2024">
      <formula>$E14=""</formula>
    </cfRule>
  </conditionalFormatting>
  <conditionalFormatting sqref="H14:H20">
    <cfRule type="expression" dxfId="12143" priority="2023">
      <formula>$E14=""</formula>
    </cfRule>
  </conditionalFormatting>
  <conditionalFormatting sqref="H14:H20">
    <cfRule type="expression" dxfId="12142" priority="2022">
      <formula>$C14&lt;$E$3</formula>
    </cfRule>
  </conditionalFormatting>
  <conditionalFormatting sqref="H14:H20">
    <cfRule type="expression" dxfId="12141" priority="2021">
      <formula>$E14=""</formula>
    </cfRule>
  </conditionalFormatting>
  <conditionalFormatting sqref="H14:H20">
    <cfRule type="expression" dxfId="12140" priority="2020">
      <formula>$C14&lt;$E$3</formula>
    </cfRule>
  </conditionalFormatting>
  <conditionalFormatting sqref="H14:H20">
    <cfRule type="expression" dxfId="12139" priority="2019">
      <formula>$E14=""</formula>
    </cfRule>
  </conditionalFormatting>
  <conditionalFormatting sqref="H14:H20">
    <cfRule type="expression" dxfId="12138" priority="2018">
      <formula>$C14&lt;$E$3</formula>
    </cfRule>
  </conditionalFormatting>
  <conditionalFormatting sqref="H14:H20">
    <cfRule type="expression" dxfId="12137" priority="2017">
      <formula>$E14=""</formula>
    </cfRule>
  </conditionalFormatting>
  <conditionalFormatting sqref="H23:H29">
    <cfRule type="expression" dxfId="12136" priority="2015">
      <formula>$C23&lt;$E$3</formula>
    </cfRule>
  </conditionalFormatting>
  <conditionalFormatting sqref="H23:H29">
    <cfRule type="expression" dxfId="12135" priority="2012">
      <formula>$C23=$E$3</formula>
    </cfRule>
    <cfRule type="expression" dxfId="12134" priority="2013">
      <formula>$C23&lt;$E$3</formula>
    </cfRule>
    <cfRule type="cellIs" dxfId="12133" priority="2014" operator="equal">
      <formula>0</formula>
    </cfRule>
    <cfRule type="expression" dxfId="12132" priority="2016">
      <formula>$C23&gt;$E$3</formula>
    </cfRule>
  </conditionalFormatting>
  <conditionalFormatting sqref="H23:H29">
    <cfRule type="expression" dxfId="12131" priority="2011">
      <formula>$C23&lt;$E$3</formula>
    </cfRule>
  </conditionalFormatting>
  <conditionalFormatting sqref="H23:H29">
    <cfRule type="expression" dxfId="12130" priority="2007">
      <formula>$C23=$E$3</formula>
    </cfRule>
    <cfRule type="expression" dxfId="12129" priority="2008">
      <formula>$C23&lt;$E$3</formula>
    </cfRule>
    <cfRule type="cellIs" dxfId="12128" priority="2009" operator="equal">
      <formula>0</formula>
    </cfRule>
    <cfRule type="expression" dxfId="12127" priority="2010">
      <formula>$C23&gt;$E$3</formula>
    </cfRule>
  </conditionalFormatting>
  <conditionalFormatting sqref="H23:H29">
    <cfRule type="expression" dxfId="12126" priority="2006">
      <formula>$C23&lt;$E$3</formula>
    </cfRule>
  </conditionalFormatting>
  <conditionalFormatting sqref="H23:H29">
    <cfRule type="expression" dxfId="12125" priority="2002">
      <formula>$C23=$E$3</formula>
    </cfRule>
    <cfRule type="expression" dxfId="12124" priority="2003">
      <formula>$C23&lt;$E$3</formula>
    </cfRule>
    <cfRule type="cellIs" dxfId="12123" priority="2004" operator="equal">
      <formula>0</formula>
    </cfRule>
    <cfRule type="expression" dxfId="12122" priority="2005">
      <formula>$C23&gt;$E$3</formula>
    </cfRule>
  </conditionalFormatting>
  <conditionalFormatting sqref="H23:H29">
    <cfRule type="expression" dxfId="12121" priority="2001">
      <formula>$C23&lt;$E$3</formula>
    </cfRule>
  </conditionalFormatting>
  <conditionalFormatting sqref="H23:H29">
    <cfRule type="expression" dxfId="12120" priority="1997">
      <formula>$C23=$E$3</formula>
    </cfRule>
    <cfRule type="expression" dxfId="12119" priority="1998">
      <formula>$C23&lt;$E$3</formula>
    </cfRule>
    <cfRule type="cellIs" dxfId="12118" priority="1999" operator="equal">
      <formula>0</formula>
    </cfRule>
    <cfRule type="expression" dxfId="12117" priority="2000">
      <formula>$C23&gt;$E$3</formula>
    </cfRule>
  </conditionalFormatting>
  <conditionalFormatting sqref="H23:H29">
    <cfRule type="expression" dxfId="12116" priority="1996">
      <formula>$E23=""</formula>
    </cfRule>
  </conditionalFormatting>
  <conditionalFormatting sqref="H23:H29">
    <cfRule type="expression" dxfId="12115" priority="1995">
      <formula>$C23&lt;$E$3</formula>
    </cfRule>
  </conditionalFormatting>
  <conditionalFormatting sqref="H23:H29">
    <cfRule type="expression" dxfId="12114" priority="1994">
      <formula>$E23=""</formula>
    </cfRule>
  </conditionalFormatting>
  <conditionalFormatting sqref="H23:H29">
    <cfRule type="expression" dxfId="12113" priority="1993">
      <formula>$E23=""</formula>
    </cfRule>
  </conditionalFormatting>
  <conditionalFormatting sqref="H23:H29">
    <cfRule type="expression" dxfId="12112" priority="1992">
      <formula>$C23&lt;$E$3</formula>
    </cfRule>
  </conditionalFormatting>
  <conditionalFormatting sqref="H23:H29">
    <cfRule type="expression" dxfId="12111" priority="1991">
      <formula>$E23=""</formula>
    </cfRule>
  </conditionalFormatting>
  <conditionalFormatting sqref="H23:H29">
    <cfRule type="expression" dxfId="12110" priority="1990">
      <formula>$C23&lt;$E$3</formula>
    </cfRule>
  </conditionalFormatting>
  <conditionalFormatting sqref="H23:H29">
    <cfRule type="expression" dxfId="12109" priority="1989">
      <formula>$E23=""</formula>
    </cfRule>
  </conditionalFormatting>
  <conditionalFormatting sqref="H23:H29">
    <cfRule type="expression" dxfId="12108" priority="1988">
      <formula>$C23&lt;$E$3</formula>
    </cfRule>
  </conditionalFormatting>
  <conditionalFormatting sqref="H23:H29">
    <cfRule type="expression" dxfId="12107" priority="1987">
      <formula>$E23=""</formula>
    </cfRule>
  </conditionalFormatting>
  <conditionalFormatting sqref="H32">
    <cfRule type="expression" dxfId="12106" priority="1985">
      <formula>$C32&lt;$E$3</formula>
    </cfRule>
  </conditionalFormatting>
  <conditionalFormatting sqref="H32">
    <cfRule type="expression" dxfId="12105" priority="1982">
      <formula>$C32=$E$3</formula>
    </cfRule>
    <cfRule type="expression" dxfId="12104" priority="1983">
      <formula>$C32&lt;$E$3</formula>
    </cfRule>
    <cfRule type="cellIs" dxfId="12103" priority="1984" operator="equal">
      <formula>0</formula>
    </cfRule>
    <cfRule type="expression" dxfId="12102" priority="1986">
      <formula>$C32&gt;$E$3</formula>
    </cfRule>
  </conditionalFormatting>
  <conditionalFormatting sqref="H32">
    <cfRule type="expression" dxfId="12101" priority="1981">
      <formula>$C32&lt;$E$3</formula>
    </cfRule>
  </conditionalFormatting>
  <conditionalFormatting sqref="H32">
    <cfRule type="expression" dxfId="12100" priority="1977">
      <formula>$C32=$E$3</formula>
    </cfRule>
    <cfRule type="expression" dxfId="12099" priority="1978">
      <formula>$C32&lt;$E$3</formula>
    </cfRule>
    <cfRule type="cellIs" dxfId="12098" priority="1979" operator="equal">
      <formula>0</formula>
    </cfRule>
    <cfRule type="expression" dxfId="12097" priority="1980">
      <formula>$C32&gt;$E$3</formula>
    </cfRule>
  </conditionalFormatting>
  <conditionalFormatting sqref="H32">
    <cfRule type="expression" dxfId="12096" priority="1976">
      <formula>$C32&lt;$E$3</formula>
    </cfRule>
  </conditionalFormatting>
  <conditionalFormatting sqref="H32">
    <cfRule type="expression" dxfId="12095" priority="1972">
      <formula>$C32=$E$3</formula>
    </cfRule>
    <cfRule type="expression" dxfId="12094" priority="1973">
      <formula>$C32&lt;$E$3</formula>
    </cfRule>
    <cfRule type="cellIs" dxfId="12093" priority="1974" operator="equal">
      <formula>0</formula>
    </cfRule>
    <cfRule type="expression" dxfId="12092" priority="1975">
      <formula>$C32&gt;$E$3</formula>
    </cfRule>
  </conditionalFormatting>
  <conditionalFormatting sqref="H32">
    <cfRule type="expression" dxfId="12091" priority="1971">
      <formula>$C32&lt;$E$3</formula>
    </cfRule>
  </conditionalFormatting>
  <conditionalFormatting sqref="H32">
    <cfRule type="expression" dxfId="12090" priority="1967">
      <formula>$C32=$E$3</formula>
    </cfRule>
    <cfRule type="expression" dxfId="12089" priority="1968">
      <formula>$C32&lt;$E$3</formula>
    </cfRule>
    <cfRule type="cellIs" dxfId="12088" priority="1969" operator="equal">
      <formula>0</formula>
    </cfRule>
    <cfRule type="expression" dxfId="12087" priority="1970">
      <formula>$C32&gt;$E$3</formula>
    </cfRule>
  </conditionalFormatting>
  <conditionalFormatting sqref="H32">
    <cfRule type="expression" dxfId="12086" priority="1966">
      <formula>$E32=""</formula>
    </cfRule>
  </conditionalFormatting>
  <conditionalFormatting sqref="H32">
    <cfRule type="expression" dxfId="12085" priority="1965">
      <formula>$C32&lt;$E$3</formula>
    </cfRule>
  </conditionalFormatting>
  <conditionalFormatting sqref="H32">
    <cfRule type="expression" dxfId="12084" priority="1964">
      <formula>$E32=""</formula>
    </cfRule>
  </conditionalFormatting>
  <conditionalFormatting sqref="H32">
    <cfRule type="expression" dxfId="12083" priority="1963">
      <formula>$E32=""</formula>
    </cfRule>
  </conditionalFormatting>
  <conditionalFormatting sqref="H32">
    <cfRule type="expression" dxfId="12082" priority="1962">
      <formula>$C32&lt;$E$3</formula>
    </cfRule>
  </conditionalFormatting>
  <conditionalFormatting sqref="H32">
    <cfRule type="expression" dxfId="12081" priority="1961">
      <formula>$E32=""</formula>
    </cfRule>
  </conditionalFormatting>
  <conditionalFormatting sqref="H32">
    <cfRule type="expression" dxfId="12080" priority="1960">
      <formula>$C32&lt;$E$3</formula>
    </cfRule>
  </conditionalFormatting>
  <conditionalFormatting sqref="H32">
    <cfRule type="expression" dxfId="12079" priority="1959">
      <formula>$E32=""</formula>
    </cfRule>
  </conditionalFormatting>
  <conditionalFormatting sqref="H32">
    <cfRule type="expression" dxfId="12078" priority="1958">
      <formula>$C32&lt;$E$3</formula>
    </cfRule>
  </conditionalFormatting>
  <conditionalFormatting sqref="H32">
    <cfRule type="expression" dxfId="12077" priority="1957">
      <formula>$E32=""</formula>
    </cfRule>
  </conditionalFormatting>
  <conditionalFormatting sqref="F52:H52">
    <cfRule type="expression" dxfId="12076" priority="2454" stopIfTrue="1">
      <formula>$H$52=-1E-55</formula>
    </cfRule>
    <cfRule type="expression" dxfId="12075" priority="2455">
      <formula>$F52&gt;=$F53</formula>
    </cfRule>
  </conditionalFormatting>
  <conditionalFormatting sqref="K5:K11">
    <cfRule type="expression" dxfId="12074" priority="1893">
      <formula>$C5&lt;$E$3</formula>
    </cfRule>
  </conditionalFormatting>
  <conditionalFormatting sqref="K5:K11">
    <cfRule type="expression" dxfId="12073" priority="1890">
      <formula>$C5=$E$3</formula>
    </cfRule>
    <cfRule type="expression" dxfId="12072" priority="1891">
      <formula>$C5&lt;$E$3</formula>
    </cfRule>
    <cfRule type="cellIs" dxfId="12071" priority="1892" operator="equal">
      <formula>0</formula>
    </cfRule>
    <cfRule type="expression" dxfId="12070" priority="1894">
      <formula>$C5&gt;$E$3</formula>
    </cfRule>
  </conditionalFormatting>
  <conditionalFormatting sqref="K5:K11">
    <cfRule type="expression" dxfId="12069" priority="1889">
      <formula>$E5=""</formula>
    </cfRule>
  </conditionalFormatting>
  <conditionalFormatting sqref="K5:K11">
    <cfRule type="expression" dxfId="12068" priority="1888">
      <formula>$E5=""</formula>
    </cfRule>
  </conditionalFormatting>
  <conditionalFormatting sqref="K5:K11">
    <cfRule type="expression" dxfId="12067" priority="1887">
      <formula>$E5=""</formula>
    </cfRule>
  </conditionalFormatting>
  <conditionalFormatting sqref="K50:K51">
    <cfRule type="expression" dxfId="12066" priority="1882">
      <formula>$C50&lt;$E$3</formula>
    </cfRule>
  </conditionalFormatting>
  <conditionalFormatting sqref="K50:K51">
    <cfRule type="expression" dxfId="12065" priority="1879">
      <formula>$C50=$E$3</formula>
    </cfRule>
    <cfRule type="expression" dxfId="12064" priority="1880">
      <formula>$C50&lt;$E$3</formula>
    </cfRule>
    <cfRule type="cellIs" dxfId="12063" priority="1881" operator="equal">
      <formula>0</formula>
    </cfRule>
    <cfRule type="expression" dxfId="12062" priority="1883">
      <formula>$C50&gt;$E$3</formula>
    </cfRule>
  </conditionalFormatting>
  <conditionalFormatting sqref="K50:K51">
    <cfRule type="expression" dxfId="12061" priority="1878">
      <formula>$E50=""</formula>
    </cfRule>
  </conditionalFormatting>
  <conditionalFormatting sqref="K50:K51">
    <cfRule type="expression" dxfId="12060" priority="1877">
      <formula>$E50=""</formula>
    </cfRule>
  </conditionalFormatting>
  <conditionalFormatting sqref="K50:K51">
    <cfRule type="expression" dxfId="12059" priority="1876">
      <formula>$E50=""</formula>
    </cfRule>
  </conditionalFormatting>
  <conditionalFormatting sqref="H33:H37">
    <cfRule type="cellIs" dxfId="12058" priority="1870" stopIfTrue="1" operator="lessThan">
      <formula>0</formula>
    </cfRule>
  </conditionalFormatting>
  <conditionalFormatting sqref="H33:H37">
    <cfRule type="expression" dxfId="12057" priority="1874">
      <formula>$C33&lt;$E$3</formula>
    </cfRule>
  </conditionalFormatting>
  <conditionalFormatting sqref="H33:H37">
    <cfRule type="expression" dxfId="12056" priority="1871">
      <formula>$C33=$E$3</formula>
    </cfRule>
    <cfRule type="expression" dxfId="12055" priority="1872">
      <formula>$C33&lt;$E$3</formula>
    </cfRule>
    <cfRule type="cellIs" dxfId="12054" priority="1873" operator="equal">
      <formula>0</formula>
    </cfRule>
    <cfRule type="expression" dxfId="12053" priority="1875">
      <formula>$C33&gt;$E$3</formula>
    </cfRule>
  </conditionalFormatting>
  <conditionalFormatting sqref="H33:H37">
    <cfRule type="expression" dxfId="12052" priority="1869">
      <formula>$C33&lt;$E$3</formula>
    </cfRule>
  </conditionalFormatting>
  <conditionalFormatting sqref="H33:H37">
    <cfRule type="expression" dxfId="12051" priority="1865">
      <formula>$C33=$E$3</formula>
    </cfRule>
    <cfRule type="expression" dxfId="12050" priority="1866">
      <formula>$C33&lt;$E$3</formula>
    </cfRule>
    <cfRule type="cellIs" dxfId="12049" priority="1867" operator="equal">
      <formula>0</formula>
    </cfRule>
    <cfRule type="expression" dxfId="12048" priority="1868">
      <formula>$C33&gt;$E$3</formula>
    </cfRule>
  </conditionalFormatting>
  <conditionalFormatting sqref="H33:H37">
    <cfRule type="expression" dxfId="12047" priority="1864">
      <formula>$E33=""</formula>
    </cfRule>
  </conditionalFormatting>
  <conditionalFormatting sqref="H36">
    <cfRule type="expression" dxfId="12046" priority="1863">
      <formula>$E36=""</formula>
    </cfRule>
  </conditionalFormatting>
  <conditionalFormatting sqref="H33:H37">
    <cfRule type="expression" dxfId="12045" priority="1862">
      <formula>$C33&lt;$E$3</formula>
    </cfRule>
  </conditionalFormatting>
  <conditionalFormatting sqref="H33:H37">
    <cfRule type="expression" dxfId="12044" priority="1858">
      <formula>$C33=$E$3</formula>
    </cfRule>
    <cfRule type="expression" dxfId="12043" priority="1859">
      <formula>$C33&lt;$E$3</formula>
    </cfRule>
    <cfRule type="cellIs" dxfId="12042" priority="1860" operator="equal">
      <formula>0</formula>
    </cfRule>
    <cfRule type="expression" dxfId="12041" priority="1861">
      <formula>$C33&gt;$E$3</formula>
    </cfRule>
  </conditionalFormatting>
  <conditionalFormatting sqref="H33:H37">
    <cfRule type="expression" dxfId="12040" priority="1857">
      <formula>$C33&lt;$E$3</formula>
    </cfRule>
  </conditionalFormatting>
  <conditionalFormatting sqref="H33:H37">
    <cfRule type="expression" dxfId="12039" priority="1853">
      <formula>$C33=$E$3</formula>
    </cfRule>
    <cfRule type="expression" dxfId="12038" priority="1854">
      <formula>$C33&lt;$E$3</formula>
    </cfRule>
    <cfRule type="cellIs" dxfId="12037" priority="1855" operator="equal">
      <formula>0</formula>
    </cfRule>
    <cfRule type="expression" dxfId="12036" priority="1856">
      <formula>$C33&gt;$E$3</formula>
    </cfRule>
  </conditionalFormatting>
  <conditionalFormatting sqref="H33:H37">
    <cfRule type="expression" dxfId="12035" priority="1852">
      <formula>$E33=""</formula>
    </cfRule>
  </conditionalFormatting>
  <conditionalFormatting sqref="H33:H37">
    <cfRule type="expression" dxfId="12034" priority="1851">
      <formula>$C33&lt;$E$3</formula>
    </cfRule>
  </conditionalFormatting>
  <conditionalFormatting sqref="H33:H37">
    <cfRule type="expression" dxfId="12033" priority="1850">
      <formula>$E33=""</formula>
    </cfRule>
  </conditionalFormatting>
  <conditionalFormatting sqref="H33:H37">
    <cfRule type="expression" dxfId="12032" priority="1849">
      <formula>$E33=""</formula>
    </cfRule>
  </conditionalFormatting>
  <conditionalFormatting sqref="H33:H37">
    <cfRule type="expression" dxfId="12031" priority="1848">
      <formula>$C33&lt;$E$3</formula>
    </cfRule>
  </conditionalFormatting>
  <conditionalFormatting sqref="H33:H37">
    <cfRule type="expression" dxfId="12030" priority="1847">
      <formula>$E33=""</formula>
    </cfRule>
  </conditionalFormatting>
  <conditionalFormatting sqref="H33:H37">
    <cfRule type="expression" dxfId="12029" priority="1846">
      <formula>$C33&lt;$E$3</formula>
    </cfRule>
  </conditionalFormatting>
  <conditionalFormatting sqref="H33:H37">
    <cfRule type="expression" dxfId="12028" priority="1845">
      <formula>$E33=""</formula>
    </cfRule>
  </conditionalFormatting>
  <conditionalFormatting sqref="H33:H37">
    <cfRule type="expression" dxfId="12027" priority="1844">
      <formula>$C33&lt;$E$3</formula>
    </cfRule>
  </conditionalFormatting>
  <conditionalFormatting sqref="H33:H37">
    <cfRule type="expression" dxfId="12026" priority="1843">
      <formula>$E33=""</formula>
    </cfRule>
  </conditionalFormatting>
  <conditionalFormatting sqref="K50:K51">
    <cfRule type="cellIs" dxfId="12025" priority="1328" stopIfTrue="1" operator="lessThan">
      <formula>0</formula>
    </cfRule>
  </conditionalFormatting>
  <conditionalFormatting sqref="K50:K51">
    <cfRule type="expression" dxfId="12024" priority="1326">
      <formula>$C50&lt;$E$3</formula>
    </cfRule>
  </conditionalFormatting>
  <conditionalFormatting sqref="K50:K51">
    <cfRule type="expression" dxfId="12023" priority="1323">
      <formula>$C50=$E$3</formula>
    </cfRule>
    <cfRule type="expression" dxfId="12022" priority="1324">
      <formula>$C50&lt;$E$3</formula>
    </cfRule>
    <cfRule type="cellIs" dxfId="12021" priority="1325" operator="equal">
      <formula>0</formula>
    </cfRule>
    <cfRule type="expression" dxfId="12020" priority="1327">
      <formula>$C50&gt;$E$3</formula>
    </cfRule>
  </conditionalFormatting>
  <conditionalFormatting sqref="K50:K51">
    <cfRule type="expression" dxfId="12019" priority="1322">
      <formula>$E50=""</formula>
    </cfRule>
  </conditionalFormatting>
  <conditionalFormatting sqref="K50:K51">
    <cfRule type="expression" dxfId="12018" priority="1321">
      <formula>$E50=""</formula>
    </cfRule>
  </conditionalFormatting>
  <conditionalFormatting sqref="K50:K51">
    <cfRule type="expression" dxfId="12017" priority="1320">
      <formula>$E50=""</formula>
    </cfRule>
  </conditionalFormatting>
  <conditionalFormatting sqref="K50:K51">
    <cfRule type="cellIs" dxfId="12016" priority="1319" stopIfTrue="1" operator="lessThan">
      <formula>0</formula>
    </cfRule>
  </conditionalFormatting>
  <conditionalFormatting sqref="K50:K51">
    <cfRule type="cellIs" dxfId="12015" priority="1318" stopIfTrue="1" operator="lessThan">
      <formula>0</formula>
    </cfRule>
  </conditionalFormatting>
  <conditionalFormatting sqref="K50:K51">
    <cfRule type="cellIs" dxfId="12014" priority="1317" stopIfTrue="1" operator="lessThan">
      <formula>0</formula>
    </cfRule>
  </conditionalFormatting>
  <conditionalFormatting sqref="K50:K51">
    <cfRule type="cellIs" dxfId="12013" priority="1316" stopIfTrue="1" operator="lessThan">
      <formula>0</formula>
    </cfRule>
  </conditionalFormatting>
  <conditionalFormatting sqref="K50:K51">
    <cfRule type="expression" dxfId="12012" priority="1315">
      <formula>$C50&lt;$E$3</formula>
    </cfRule>
  </conditionalFormatting>
  <conditionalFormatting sqref="K50:K51">
    <cfRule type="expression" dxfId="12011" priority="1311">
      <formula>$C50=$E$3</formula>
    </cfRule>
    <cfRule type="expression" dxfId="12010" priority="1312">
      <formula>$C50&lt;$E$3</formula>
    </cfRule>
    <cfRule type="cellIs" dxfId="12009" priority="1313" operator="equal">
      <formula>0</formula>
    </cfRule>
    <cfRule type="expression" dxfId="12008" priority="1314">
      <formula>$C50&gt;$E$3</formula>
    </cfRule>
  </conditionalFormatting>
  <conditionalFormatting sqref="K50:K51">
    <cfRule type="expression" dxfId="12007" priority="1310">
      <formula>$C50&lt;$E$3</formula>
    </cfRule>
  </conditionalFormatting>
  <conditionalFormatting sqref="K50:K51">
    <cfRule type="expression" dxfId="12006" priority="1306">
      <formula>$C50=$E$3</formula>
    </cfRule>
    <cfRule type="expression" dxfId="12005" priority="1307">
      <formula>$C50&lt;$E$3</formula>
    </cfRule>
    <cfRule type="cellIs" dxfId="12004" priority="1308" operator="equal">
      <formula>0</formula>
    </cfRule>
    <cfRule type="expression" dxfId="12003" priority="1309">
      <formula>$C50&gt;$E$3</formula>
    </cfRule>
  </conditionalFormatting>
  <conditionalFormatting sqref="K50:K51">
    <cfRule type="expression" dxfId="12002" priority="1305">
      <formula>$C50&lt;$E$3</formula>
    </cfRule>
  </conditionalFormatting>
  <conditionalFormatting sqref="K50:K51">
    <cfRule type="expression" dxfId="12001" priority="1301">
      <formula>$C50=$E$3</formula>
    </cfRule>
    <cfRule type="expression" dxfId="12000" priority="1302">
      <formula>$C50&lt;$E$3</formula>
    </cfRule>
    <cfRule type="cellIs" dxfId="11999" priority="1303" operator="equal">
      <formula>0</formula>
    </cfRule>
    <cfRule type="expression" dxfId="11998" priority="1304">
      <formula>$C50&gt;$E$3</formula>
    </cfRule>
  </conditionalFormatting>
  <conditionalFormatting sqref="K50:K51">
    <cfRule type="expression" dxfId="11997" priority="1300">
      <formula>$C50&lt;$E$3</formula>
    </cfRule>
  </conditionalFormatting>
  <conditionalFormatting sqref="K50:K51">
    <cfRule type="expression" dxfId="11996" priority="1296">
      <formula>$C50=$E$3</formula>
    </cfRule>
    <cfRule type="expression" dxfId="11995" priority="1297">
      <formula>$C50&lt;$E$3</formula>
    </cfRule>
    <cfRule type="cellIs" dxfId="11994" priority="1298" operator="equal">
      <formula>0</formula>
    </cfRule>
    <cfRule type="expression" dxfId="11993" priority="1299">
      <formula>$C50&gt;$E$3</formula>
    </cfRule>
  </conditionalFormatting>
  <conditionalFormatting sqref="K50:K51">
    <cfRule type="expression" dxfId="11992" priority="1295">
      <formula>$E50=""</formula>
    </cfRule>
  </conditionalFormatting>
  <conditionalFormatting sqref="K50:K51">
    <cfRule type="expression" dxfId="11991" priority="1294">
      <formula>$C50&lt;$E$3</formula>
    </cfRule>
  </conditionalFormatting>
  <conditionalFormatting sqref="K50:K51">
    <cfRule type="expression" dxfId="11990" priority="1293">
      <formula>$E50=""</formula>
    </cfRule>
  </conditionalFormatting>
  <conditionalFormatting sqref="K50:K51">
    <cfRule type="expression" dxfId="11989" priority="1292">
      <formula>$E50=""</formula>
    </cfRule>
  </conditionalFormatting>
  <conditionalFormatting sqref="K50:K51">
    <cfRule type="expression" dxfId="11988" priority="1291">
      <formula>$C50&lt;$E$3</formula>
    </cfRule>
  </conditionalFormatting>
  <conditionalFormatting sqref="K50:K51">
    <cfRule type="expression" dxfId="11987" priority="1290">
      <formula>$E50=""</formula>
    </cfRule>
  </conditionalFormatting>
  <conditionalFormatting sqref="K50:K51">
    <cfRule type="expression" dxfId="11986" priority="1289">
      <formula>$C50&lt;$E$3</formula>
    </cfRule>
  </conditionalFormatting>
  <conditionalFormatting sqref="K50:K51">
    <cfRule type="expression" dxfId="11985" priority="1288">
      <formula>$E50=""</formula>
    </cfRule>
  </conditionalFormatting>
  <conditionalFormatting sqref="K50:K51">
    <cfRule type="expression" dxfId="11984" priority="1287">
      <formula>$C50&lt;$E$3</formula>
    </cfRule>
  </conditionalFormatting>
  <conditionalFormatting sqref="K50:K51">
    <cfRule type="expression" dxfId="11983" priority="1286">
      <formula>$E50=""</formula>
    </cfRule>
  </conditionalFormatting>
  <conditionalFormatting sqref="K50:K51">
    <cfRule type="expression" dxfId="11982" priority="1285">
      <formula>$C50&lt;$E$3</formula>
    </cfRule>
  </conditionalFormatting>
  <conditionalFormatting sqref="K50:K51">
    <cfRule type="expression" dxfId="11981" priority="1281">
      <formula>$C50=$E$3</formula>
    </cfRule>
    <cfRule type="expression" dxfId="11980" priority="1282">
      <formula>$C50&lt;$E$3</formula>
    </cfRule>
    <cfRule type="cellIs" dxfId="11979" priority="1283" operator="equal">
      <formula>0</formula>
    </cfRule>
    <cfRule type="expression" dxfId="11978" priority="1284">
      <formula>$C50&gt;$E$3</formula>
    </cfRule>
  </conditionalFormatting>
  <conditionalFormatting sqref="K50:K51">
    <cfRule type="expression" dxfId="11977" priority="1280">
      <formula>$C50&lt;$E$3</formula>
    </cfRule>
  </conditionalFormatting>
  <conditionalFormatting sqref="K50:K51">
    <cfRule type="expression" dxfId="11976" priority="1276">
      <formula>$C50=$E$3</formula>
    </cfRule>
    <cfRule type="expression" dxfId="11975" priority="1277">
      <formula>$C50&lt;$E$3</formula>
    </cfRule>
    <cfRule type="cellIs" dxfId="11974" priority="1278" operator="equal">
      <formula>0</formula>
    </cfRule>
    <cfRule type="expression" dxfId="11973" priority="1279">
      <formula>$C50&gt;$E$3</formula>
    </cfRule>
  </conditionalFormatting>
  <conditionalFormatting sqref="K50:K51">
    <cfRule type="expression" dxfId="11972" priority="1275">
      <formula>$C50&lt;$E$3</formula>
    </cfRule>
  </conditionalFormatting>
  <conditionalFormatting sqref="K50:K51">
    <cfRule type="expression" dxfId="11971" priority="1271">
      <formula>$C50=$E$3</formula>
    </cfRule>
    <cfRule type="expression" dxfId="11970" priority="1272">
      <formula>$C50&lt;$E$3</formula>
    </cfRule>
    <cfRule type="cellIs" dxfId="11969" priority="1273" operator="equal">
      <formula>0</formula>
    </cfRule>
    <cfRule type="expression" dxfId="11968" priority="1274">
      <formula>$C50&gt;$E$3</formula>
    </cfRule>
  </conditionalFormatting>
  <conditionalFormatting sqref="K50:K51">
    <cfRule type="expression" dxfId="11967" priority="1270">
      <formula>$C50&lt;$E$3</formula>
    </cfRule>
  </conditionalFormatting>
  <conditionalFormatting sqref="K50:K51">
    <cfRule type="expression" dxfId="11966" priority="1266">
      <formula>$C50=$E$3</formula>
    </cfRule>
    <cfRule type="expression" dxfId="11965" priority="1267">
      <formula>$C50&lt;$E$3</formula>
    </cfRule>
    <cfRule type="cellIs" dxfId="11964" priority="1268" operator="equal">
      <formula>0</formula>
    </cfRule>
    <cfRule type="expression" dxfId="11963" priority="1269">
      <formula>$C50&gt;$E$3</formula>
    </cfRule>
  </conditionalFormatting>
  <conditionalFormatting sqref="K50:K51">
    <cfRule type="expression" dxfId="11962" priority="1265">
      <formula>$E50=""</formula>
    </cfRule>
  </conditionalFormatting>
  <conditionalFormatting sqref="K50:K51">
    <cfRule type="expression" dxfId="11961" priority="1264">
      <formula>$C50&lt;$E$3</formula>
    </cfRule>
  </conditionalFormatting>
  <conditionalFormatting sqref="K50:K51">
    <cfRule type="expression" dxfId="11960" priority="1263">
      <formula>$E50=""</formula>
    </cfRule>
  </conditionalFormatting>
  <conditionalFormatting sqref="K50:K51">
    <cfRule type="expression" dxfId="11959" priority="1262">
      <formula>$E50=""</formula>
    </cfRule>
  </conditionalFormatting>
  <conditionalFormatting sqref="K50:K51">
    <cfRule type="expression" dxfId="11958" priority="1261">
      <formula>$C50&lt;$E$3</formula>
    </cfRule>
  </conditionalFormatting>
  <conditionalFormatting sqref="K50:K51">
    <cfRule type="expression" dxfId="11957" priority="1260">
      <formula>$E50=""</formula>
    </cfRule>
  </conditionalFormatting>
  <conditionalFormatting sqref="K50:K51">
    <cfRule type="expression" dxfId="11956" priority="1259">
      <formula>$C50&lt;$E$3</formula>
    </cfRule>
  </conditionalFormatting>
  <conditionalFormatting sqref="K50:K51">
    <cfRule type="expression" dxfId="11955" priority="1258">
      <formula>$E50=""</formula>
    </cfRule>
  </conditionalFormatting>
  <conditionalFormatting sqref="K50:K51">
    <cfRule type="expression" dxfId="11954" priority="1257">
      <formula>$C50&lt;$E$3</formula>
    </cfRule>
  </conditionalFormatting>
  <conditionalFormatting sqref="K50:K51">
    <cfRule type="expression" dxfId="11953" priority="1256">
      <formula>$E50=""</formula>
    </cfRule>
  </conditionalFormatting>
  <conditionalFormatting sqref="K50:K51">
    <cfRule type="expression" dxfId="11952" priority="1254">
      <formula>$C50&lt;$E$3</formula>
    </cfRule>
  </conditionalFormatting>
  <conditionalFormatting sqref="K50:K51">
    <cfRule type="expression" dxfId="11951" priority="1251">
      <formula>$C50=$E$3</formula>
    </cfRule>
    <cfRule type="expression" dxfId="11950" priority="1252">
      <formula>$C50&lt;$E$3</formula>
    </cfRule>
    <cfRule type="cellIs" dxfId="11949" priority="1253" operator="equal">
      <formula>0</formula>
    </cfRule>
    <cfRule type="expression" dxfId="11948" priority="1255">
      <formula>$C50&gt;$E$3</formula>
    </cfRule>
  </conditionalFormatting>
  <conditionalFormatting sqref="K50:K51">
    <cfRule type="expression" dxfId="11947" priority="1250">
      <formula>$E50=""</formula>
    </cfRule>
  </conditionalFormatting>
  <conditionalFormatting sqref="K50:K51">
    <cfRule type="expression" dxfId="11946" priority="1249">
      <formula>$E50=""</formula>
    </cfRule>
  </conditionalFormatting>
  <conditionalFormatting sqref="K50:K51">
    <cfRule type="expression" dxfId="11945" priority="1248">
      <formula>$E50=""</formula>
    </cfRule>
  </conditionalFormatting>
  <conditionalFormatting sqref="V50:W51 V5:W20 V23:W29 V32:W38 V41:W47">
    <cfRule type="cellIs" dxfId="11944" priority="1245" stopIfTrue="1" operator="lessThan">
      <formula>0</formula>
    </cfRule>
  </conditionalFormatting>
  <conditionalFormatting sqref="Q4:Q51 R5:R11 R14:R20 R23:R29 R32:R38 R41:R47 R50:R51 T50:U51 T41:U47 T32:U38 T23:U29 T14:U20 T5:U11">
    <cfRule type="cellIs" dxfId="11943" priority="1246" stopIfTrue="1" operator="lessThan">
      <formula>0</formula>
    </cfRule>
  </conditionalFormatting>
  <conditionalFormatting sqref="N5:N6 N9">
    <cfRule type="cellIs" dxfId="11942" priority="1244" stopIfTrue="1" operator="lessThan">
      <formula>0</formula>
    </cfRule>
  </conditionalFormatting>
  <conditionalFormatting sqref="J14:J20 L14:M20 J41:J47 L32:M38 L41:M47 J23:J29 J32:J38 L23:M29">
    <cfRule type="cellIs" dxfId="11941" priority="1239" stopIfTrue="1" operator="lessThan">
      <formula>0</formula>
    </cfRule>
  </conditionalFormatting>
  <conditionalFormatting sqref="J14:J20 J41:J47 L14:M20 L32:M38 L41:M47 J23:J29 J32:J38 L23:M29">
    <cfRule type="expression" dxfId="11940" priority="1237">
      <formula>$C14&lt;$E$3</formula>
    </cfRule>
  </conditionalFormatting>
  <conditionalFormatting sqref="J14:J20 J41:J47 L14:M20 L32:M38 L41:M47 J23:J29 J32:J38 L23:M29">
    <cfRule type="expression" dxfId="11939" priority="1234">
      <formula>$C14=$E$3</formula>
    </cfRule>
    <cfRule type="expression" dxfId="11938" priority="1235">
      <formula>$C14&lt;$E$3</formula>
    </cfRule>
    <cfRule type="cellIs" dxfId="11937" priority="1236" operator="equal">
      <formula>0</formula>
    </cfRule>
    <cfRule type="expression" dxfId="11936" priority="1238">
      <formula>$C14&gt;$E$3</formula>
    </cfRule>
  </conditionalFormatting>
  <conditionalFormatting sqref="J14:J20 J41:J47 L14:M20 L32:M38 L41:M47 J23:J29 J32:J38 L23:M29">
    <cfRule type="expression" dxfId="11935" priority="1233">
      <formula>$E14=""</formula>
    </cfRule>
  </conditionalFormatting>
  <conditionalFormatting sqref="J41:J47 J14:J20 L14:M20 L32:M38 L41:M47 J23:J29 J32:J38 L23:M29">
    <cfRule type="expression" dxfId="11934" priority="1232">
      <formula>$E14=""</formula>
    </cfRule>
  </conditionalFormatting>
  <conditionalFormatting sqref="J41:J47 J14:J20 L14:M20 L32:M38 L41:M47 J23:J29 J32:J38 L23:M29">
    <cfRule type="expression" dxfId="11933" priority="1231">
      <formula>$E14=""</formula>
    </cfRule>
  </conditionalFormatting>
  <conditionalFormatting sqref="M14:M20 M32:M38 M41:M47 M23:M29">
    <cfRule type="expression" dxfId="11932" priority="1230">
      <formula>$C14&lt;$E$3</formula>
    </cfRule>
  </conditionalFormatting>
  <conditionalFormatting sqref="M14:M20 M32:M38 M41:M47 M23:M29">
    <cfRule type="expression" dxfId="11931" priority="1226">
      <formula>$C14=$E$3</formula>
    </cfRule>
    <cfRule type="expression" dxfId="11930" priority="1227">
      <formula>$C14&lt;$E$3</formula>
    </cfRule>
    <cfRule type="cellIs" dxfId="11929" priority="1228" operator="equal">
      <formula>0</formula>
    </cfRule>
    <cfRule type="expression" dxfId="11928" priority="1229">
      <formula>$C14&gt;$E$3</formula>
    </cfRule>
  </conditionalFormatting>
  <conditionalFormatting sqref="M14:M20 M32:M38 M41:M47 M23:M29">
    <cfRule type="expression" dxfId="11927" priority="1225">
      <formula>$C14&lt;$E$3</formula>
    </cfRule>
  </conditionalFormatting>
  <conditionalFormatting sqref="M14:M20 M32:M38 M41:M47 M23:M29">
    <cfRule type="expression" dxfId="11926" priority="1221">
      <formula>$C14=$E$3</formula>
    </cfRule>
    <cfRule type="expression" dxfId="11925" priority="1222">
      <formula>$C14&lt;$E$3</formula>
    </cfRule>
    <cfRule type="cellIs" dxfId="11924" priority="1223" operator="equal">
      <formula>0</formula>
    </cfRule>
    <cfRule type="expression" dxfId="11923" priority="1224">
      <formula>$C14&gt;$E$3</formula>
    </cfRule>
  </conditionalFormatting>
  <conditionalFormatting sqref="M14:M20 M32:M38 M41:M47 M23:M29">
    <cfRule type="expression" dxfId="11922" priority="1220">
      <formula>$C14&lt;$E$3</formula>
    </cfRule>
  </conditionalFormatting>
  <conditionalFormatting sqref="M14:M20 M32:M38 M41:M47 M23:M29">
    <cfRule type="expression" dxfId="11921" priority="1216">
      <formula>$C14=$E$3</formula>
    </cfRule>
    <cfRule type="expression" dxfId="11920" priority="1217">
      <formula>$C14&lt;$E$3</formula>
    </cfRule>
    <cfRule type="cellIs" dxfId="11919" priority="1218" operator="equal">
      <formula>0</formula>
    </cfRule>
    <cfRule type="expression" dxfId="11918" priority="1219">
      <formula>$C14&gt;$E$3</formula>
    </cfRule>
  </conditionalFormatting>
  <conditionalFormatting sqref="M14:M20 M32:M38 M41:M47 M23:M29">
    <cfRule type="expression" dxfId="11917" priority="1215">
      <formula>$C14&lt;$E$3</formula>
    </cfRule>
  </conditionalFormatting>
  <conditionalFormatting sqref="M14:M20 M32:M38 M41:M47 M23:M29">
    <cfRule type="expression" dxfId="11916" priority="1211">
      <formula>$C14=$E$3</formula>
    </cfRule>
    <cfRule type="expression" dxfId="11915" priority="1212">
      <formula>$C14&lt;$E$3</formula>
    </cfRule>
    <cfRule type="cellIs" dxfId="11914" priority="1213" operator="equal">
      <formula>0</formula>
    </cfRule>
    <cfRule type="expression" dxfId="11913" priority="1214">
      <formula>$C14&gt;$E$3</formula>
    </cfRule>
  </conditionalFormatting>
  <conditionalFormatting sqref="M14:M20 M32:M38 M41:M47 M23:M29">
    <cfRule type="expression" dxfId="11912" priority="1210">
      <formula>$E14=""</formula>
    </cfRule>
  </conditionalFormatting>
  <conditionalFormatting sqref="M14:M20 M32:M38 M41:M47 M23:M29">
    <cfRule type="expression" dxfId="11911" priority="1209">
      <formula>$C14&lt;$E$3</formula>
    </cfRule>
  </conditionalFormatting>
  <conditionalFormatting sqref="M14:M20 M32:M38 M41:M47 M23:M29">
    <cfRule type="expression" dxfId="11910" priority="1208">
      <formula>$E14=""</formula>
    </cfRule>
  </conditionalFormatting>
  <conditionalFormatting sqref="M32:M38 M41:M47 M14:M20 M23:M29">
    <cfRule type="expression" dxfId="11909" priority="1207">
      <formula>$E14=""</formula>
    </cfRule>
  </conditionalFormatting>
  <conditionalFormatting sqref="M14:M20 M32:M38 M41:M47 M23:M29">
    <cfRule type="expression" dxfId="11908" priority="1206">
      <formula>$C14&lt;$E$3</formula>
    </cfRule>
  </conditionalFormatting>
  <conditionalFormatting sqref="M14:M20 M32:M38 M41:M47 M23:M29">
    <cfRule type="expression" dxfId="11907" priority="1205">
      <formula>$E14=""</formula>
    </cfRule>
  </conditionalFormatting>
  <conditionalFormatting sqref="M14:M20 M32:M38 M41:M47 M23:M29">
    <cfRule type="expression" dxfId="11906" priority="1204">
      <formula>$C14&lt;$E$3</formula>
    </cfRule>
  </conditionalFormatting>
  <conditionalFormatting sqref="M14:M20 M32:M38 M41:M47 M23:M29">
    <cfRule type="expression" dxfId="11905" priority="1203">
      <formula>$E14=""</formula>
    </cfRule>
  </conditionalFormatting>
  <conditionalFormatting sqref="M14:M20 M32:M38 M41:M47 M23:M29">
    <cfRule type="expression" dxfId="11904" priority="1202">
      <formula>$C14&lt;$E$3</formula>
    </cfRule>
  </conditionalFormatting>
  <conditionalFormatting sqref="M14:M20 M32:M38 M41:M47 M23:M29">
    <cfRule type="expression" dxfId="11903" priority="1201">
      <formula>$E14=""</formula>
    </cfRule>
  </conditionalFormatting>
  <conditionalFormatting sqref="M14:M20 M32:M38 M41:M47 M23:M29">
    <cfRule type="expression" dxfId="11902" priority="1200">
      <formula>$C14&lt;$E$3</formula>
    </cfRule>
  </conditionalFormatting>
  <conditionalFormatting sqref="M14:M20 M32:M38 M41:M47 M23:M29">
    <cfRule type="expression" dxfId="11901" priority="1196">
      <formula>$C14=$E$3</formula>
    </cfRule>
    <cfRule type="expression" dxfId="11900" priority="1197">
      <formula>$C14&lt;$E$3</formula>
    </cfRule>
    <cfRule type="cellIs" dxfId="11899" priority="1198" operator="equal">
      <formula>0</formula>
    </cfRule>
    <cfRule type="expression" dxfId="11898" priority="1199">
      <formula>$C14&gt;$E$3</formula>
    </cfRule>
  </conditionalFormatting>
  <conditionalFormatting sqref="M14:M20 M32:M38 M41:M47 M23:M29">
    <cfRule type="expression" dxfId="11897" priority="1195">
      <formula>$C14&lt;$E$3</formula>
    </cfRule>
  </conditionalFormatting>
  <conditionalFormatting sqref="M14:M20 M32:M38 M41:M47 M23:M29">
    <cfRule type="expression" dxfId="11896" priority="1191">
      <formula>$C14=$E$3</formula>
    </cfRule>
    <cfRule type="expression" dxfId="11895" priority="1192">
      <formula>$C14&lt;$E$3</formula>
    </cfRule>
    <cfRule type="cellIs" dxfId="11894" priority="1193" operator="equal">
      <formula>0</formula>
    </cfRule>
    <cfRule type="expression" dxfId="11893" priority="1194">
      <formula>$C14&gt;$E$3</formula>
    </cfRule>
  </conditionalFormatting>
  <conditionalFormatting sqref="M14:M20 M32:M38 M41:M47 M23:M29">
    <cfRule type="expression" dxfId="11892" priority="1190">
      <formula>$C14&lt;$E$3</formula>
    </cfRule>
  </conditionalFormatting>
  <conditionalFormatting sqref="M14:M20 M32:M38 M41:M47 M23:M29">
    <cfRule type="expression" dxfId="11891" priority="1186">
      <formula>$C14=$E$3</formula>
    </cfRule>
    <cfRule type="expression" dxfId="11890" priority="1187">
      <formula>$C14&lt;$E$3</formula>
    </cfRule>
    <cfRule type="cellIs" dxfId="11889" priority="1188" operator="equal">
      <formula>0</formula>
    </cfRule>
    <cfRule type="expression" dxfId="11888" priority="1189">
      <formula>$C14&gt;$E$3</formula>
    </cfRule>
  </conditionalFormatting>
  <conditionalFormatting sqref="M14:M20 M32:M38 M41:M47 M23:M29">
    <cfRule type="expression" dxfId="11887" priority="1185">
      <formula>$C14&lt;$E$3</formula>
    </cfRule>
  </conditionalFormatting>
  <conditionalFormatting sqref="M14:M20 M32:M38 M41:M47 M23:M29">
    <cfRule type="expression" dxfId="11886" priority="1181">
      <formula>$C14=$E$3</formula>
    </cfRule>
    <cfRule type="expression" dxfId="11885" priority="1182">
      <formula>$C14&lt;$E$3</formula>
    </cfRule>
    <cfRule type="cellIs" dxfId="11884" priority="1183" operator="equal">
      <formula>0</formula>
    </cfRule>
    <cfRule type="expression" dxfId="11883" priority="1184">
      <formula>$C14&gt;$E$3</formula>
    </cfRule>
  </conditionalFormatting>
  <conditionalFormatting sqref="M14:M20 M32:M38 M41:M47 M23:M29">
    <cfRule type="expression" dxfId="11882" priority="1180">
      <formula>$E14=""</formula>
    </cfRule>
  </conditionalFormatting>
  <conditionalFormatting sqref="M14:M20 M32:M38 M41:M47 M23:M29">
    <cfRule type="expression" dxfId="11881" priority="1179">
      <formula>$C14&lt;$E$3</formula>
    </cfRule>
  </conditionalFormatting>
  <conditionalFormatting sqref="M14:M20 M32:M38 M41:M47 M23:M29">
    <cfRule type="expression" dxfId="11880" priority="1178">
      <formula>$E14=""</formula>
    </cfRule>
  </conditionalFormatting>
  <conditionalFormatting sqref="M32:M38 M41:M47 M14:M20 M23:M29">
    <cfRule type="expression" dxfId="11879" priority="1177">
      <formula>$E14=""</formula>
    </cfRule>
  </conditionalFormatting>
  <conditionalFormatting sqref="M14:M20 M32:M38 M41:M47 M23:M29">
    <cfRule type="expression" dxfId="11878" priority="1176">
      <formula>$C14&lt;$E$3</formula>
    </cfRule>
  </conditionalFormatting>
  <conditionalFormatting sqref="M14:M20 M32:M38 M41:M47 M23:M29">
    <cfRule type="expression" dxfId="11877" priority="1175">
      <formula>$E14=""</formula>
    </cfRule>
  </conditionalFormatting>
  <conditionalFormatting sqref="M14:M20 M32:M38 M41:M47 M23:M29">
    <cfRule type="expression" dxfId="11876" priority="1174">
      <formula>$C14&lt;$E$3</formula>
    </cfRule>
  </conditionalFormatting>
  <conditionalFormatting sqref="M14:M20 M32:M38 M41:M47 M23:M29">
    <cfRule type="expression" dxfId="11875" priority="1173">
      <formula>$E14=""</formula>
    </cfRule>
  </conditionalFormatting>
  <conditionalFormatting sqref="M14:M20 M32:M38 M41:M47 M23:M29">
    <cfRule type="expression" dxfId="11874" priority="1172">
      <formula>$C14&lt;$E$3</formula>
    </cfRule>
  </conditionalFormatting>
  <conditionalFormatting sqref="M14:M20 M32:M38 M41:M47 M23:M29">
    <cfRule type="expression" dxfId="11873" priority="1171">
      <formula>$E14=""</formula>
    </cfRule>
  </conditionalFormatting>
  <conditionalFormatting sqref="K37">
    <cfRule type="expression" dxfId="11872" priority="876">
      <formula>$C37&lt;$E$3</formula>
    </cfRule>
  </conditionalFormatting>
  <conditionalFormatting sqref="K37">
    <cfRule type="expression" dxfId="11871" priority="872">
      <formula>$C37=$E$3</formula>
    </cfRule>
    <cfRule type="expression" dxfId="11870" priority="873">
      <formula>$C37&lt;$E$3</formula>
    </cfRule>
    <cfRule type="cellIs" dxfId="11869" priority="874" operator="equal">
      <formula>0</formula>
    </cfRule>
    <cfRule type="expression" dxfId="11868" priority="875">
      <formula>$C37&gt;$E$3</formula>
    </cfRule>
  </conditionalFormatting>
  <conditionalFormatting sqref="K37">
    <cfRule type="expression" dxfId="11867" priority="871">
      <formula>$C37&lt;$E$3</formula>
    </cfRule>
  </conditionalFormatting>
  <conditionalFormatting sqref="K37">
    <cfRule type="expression" dxfId="11866" priority="867">
      <formula>$C37=$E$3</formula>
    </cfRule>
    <cfRule type="expression" dxfId="11865" priority="868">
      <formula>$C37&lt;$E$3</formula>
    </cfRule>
    <cfRule type="cellIs" dxfId="11864" priority="869" operator="equal">
      <formula>0</formula>
    </cfRule>
    <cfRule type="expression" dxfId="11863" priority="870">
      <formula>$C37&gt;$E$3</formula>
    </cfRule>
  </conditionalFormatting>
  <conditionalFormatting sqref="K37">
    <cfRule type="expression" dxfId="11862" priority="846">
      <formula>$C37&lt;$E$3</formula>
    </cfRule>
  </conditionalFormatting>
  <conditionalFormatting sqref="K37">
    <cfRule type="expression" dxfId="11861" priority="842">
      <formula>$C37=$E$3</formula>
    </cfRule>
    <cfRule type="expression" dxfId="11860" priority="843">
      <formula>$C37&lt;$E$3</formula>
    </cfRule>
    <cfRule type="cellIs" dxfId="11859" priority="844" operator="equal">
      <formula>0</formula>
    </cfRule>
    <cfRule type="expression" dxfId="11858" priority="845">
      <formula>$C37&gt;$E$3</formula>
    </cfRule>
  </conditionalFormatting>
  <conditionalFormatting sqref="K37">
    <cfRule type="expression" dxfId="11857" priority="841">
      <formula>$C37&lt;$E$3</formula>
    </cfRule>
  </conditionalFormatting>
  <conditionalFormatting sqref="K37">
    <cfRule type="expression" dxfId="11856" priority="837">
      <formula>$C37=$E$3</formula>
    </cfRule>
    <cfRule type="expression" dxfId="11855" priority="838">
      <formula>$C37&lt;$E$3</formula>
    </cfRule>
    <cfRule type="cellIs" dxfId="11854" priority="839" operator="equal">
      <formula>0</formula>
    </cfRule>
    <cfRule type="expression" dxfId="11853" priority="840">
      <formula>$C37&gt;$E$3</formula>
    </cfRule>
  </conditionalFormatting>
  <conditionalFormatting sqref="K32:K36">
    <cfRule type="expression" dxfId="11852" priority="816">
      <formula>$C32&lt;$E$3</formula>
    </cfRule>
  </conditionalFormatting>
  <conditionalFormatting sqref="K32:K36">
    <cfRule type="expression" dxfId="11851" priority="812">
      <formula>$C32=$E$3</formula>
    </cfRule>
    <cfRule type="expression" dxfId="11850" priority="813">
      <formula>$C32&lt;$E$3</formula>
    </cfRule>
    <cfRule type="cellIs" dxfId="11849" priority="814" operator="equal">
      <formula>0</formula>
    </cfRule>
    <cfRule type="expression" dxfId="11848" priority="815">
      <formula>$C32&gt;$E$3</formula>
    </cfRule>
  </conditionalFormatting>
  <conditionalFormatting sqref="K32:K36">
    <cfRule type="expression" dxfId="11847" priority="811">
      <formula>$C32&lt;$E$3</formula>
    </cfRule>
  </conditionalFormatting>
  <conditionalFormatting sqref="K32:K36">
    <cfRule type="expression" dxfId="11846" priority="807">
      <formula>$C32=$E$3</formula>
    </cfRule>
    <cfRule type="expression" dxfId="11845" priority="808">
      <formula>$C32&lt;$E$3</formula>
    </cfRule>
    <cfRule type="cellIs" dxfId="11844" priority="809" operator="equal">
      <formula>0</formula>
    </cfRule>
    <cfRule type="expression" dxfId="11843" priority="810">
      <formula>$C32&gt;$E$3</formula>
    </cfRule>
  </conditionalFormatting>
  <conditionalFormatting sqref="J39:N40">
    <cfRule type="expression" dxfId="11842" priority="1170">
      <formula>$L$40=0</formula>
    </cfRule>
  </conditionalFormatting>
  <conditionalFormatting sqref="K14:K20">
    <cfRule type="cellIs" dxfId="11841" priority="1169" stopIfTrue="1" operator="lessThan">
      <formula>0</formula>
    </cfRule>
  </conditionalFormatting>
  <conditionalFormatting sqref="K14:K20">
    <cfRule type="expression" dxfId="11840" priority="1167">
      <formula>$C14&lt;$E$3</formula>
    </cfRule>
  </conditionalFormatting>
  <conditionalFormatting sqref="K14:K20">
    <cfRule type="expression" dxfId="11839" priority="1164">
      <formula>$C14=$E$3</formula>
    </cfRule>
    <cfRule type="expression" dxfId="11838" priority="1165">
      <formula>$C14&lt;$E$3</formula>
    </cfRule>
    <cfRule type="cellIs" dxfId="11837" priority="1166" operator="equal">
      <formula>0</formula>
    </cfRule>
    <cfRule type="expression" dxfId="11836" priority="1168">
      <formula>$C14&gt;$E$3</formula>
    </cfRule>
  </conditionalFormatting>
  <conditionalFormatting sqref="K14:K20">
    <cfRule type="expression" dxfId="11835" priority="1163">
      <formula>$E14=""</formula>
    </cfRule>
  </conditionalFormatting>
  <conditionalFormatting sqref="K14:K20">
    <cfRule type="expression" dxfId="11834" priority="1162">
      <formula>$E14=""</formula>
    </cfRule>
  </conditionalFormatting>
  <conditionalFormatting sqref="K14:K20">
    <cfRule type="expression" dxfId="11833" priority="1161">
      <formula>$E14=""</formula>
    </cfRule>
  </conditionalFormatting>
  <conditionalFormatting sqref="K19">
    <cfRule type="expression" dxfId="11832" priority="1160">
      <formula>$C19&lt;$E$3</formula>
    </cfRule>
  </conditionalFormatting>
  <conditionalFormatting sqref="K19">
    <cfRule type="expression" dxfId="11831" priority="1156">
      <formula>$C19=$E$3</formula>
    </cfRule>
    <cfRule type="expression" dxfId="11830" priority="1157">
      <formula>$C19&lt;$E$3</formula>
    </cfRule>
    <cfRule type="cellIs" dxfId="11829" priority="1158" operator="equal">
      <formula>0</formula>
    </cfRule>
    <cfRule type="expression" dxfId="11828" priority="1159">
      <formula>$C19&gt;$E$3</formula>
    </cfRule>
  </conditionalFormatting>
  <conditionalFormatting sqref="K19">
    <cfRule type="expression" dxfId="11827" priority="1155">
      <formula>$C19&lt;$E$3</formula>
    </cfRule>
  </conditionalFormatting>
  <conditionalFormatting sqref="K19">
    <cfRule type="expression" dxfId="11826" priority="1151">
      <formula>$C19=$E$3</formula>
    </cfRule>
    <cfRule type="expression" dxfId="11825" priority="1152">
      <formula>$C19&lt;$E$3</formula>
    </cfRule>
    <cfRule type="cellIs" dxfId="11824" priority="1153" operator="equal">
      <formula>0</formula>
    </cfRule>
    <cfRule type="expression" dxfId="11823" priority="1154">
      <formula>$C19&gt;$E$3</formula>
    </cfRule>
  </conditionalFormatting>
  <conditionalFormatting sqref="K19">
    <cfRule type="expression" dxfId="11822" priority="1150">
      <formula>$C19&lt;$E$3</formula>
    </cfRule>
  </conditionalFormatting>
  <conditionalFormatting sqref="K19">
    <cfRule type="expression" dxfId="11821" priority="1146">
      <formula>$C19=$E$3</formula>
    </cfRule>
    <cfRule type="expression" dxfId="11820" priority="1147">
      <formula>$C19&lt;$E$3</formula>
    </cfRule>
    <cfRule type="cellIs" dxfId="11819" priority="1148" operator="equal">
      <formula>0</formula>
    </cfRule>
    <cfRule type="expression" dxfId="11818" priority="1149">
      <formula>$C19&gt;$E$3</formula>
    </cfRule>
  </conditionalFormatting>
  <conditionalFormatting sqref="K19">
    <cfRule type="expression" dxfId="11817" priority="1145">
      <formula>$C19&lt;$E$3</formula>
    </cfRule>
  </conditionalFormatting>
  <conditionalFormatting sqref="K19">
    <cfRule type="expression" dxfId="11816" priority="1141">
      <formula>$C19=$E$3</formula>
    </cfRule>
    <cfRule type="expression" dxfId="11815" priority="1142">
      <formula>$C19&lt;$E$3</formula>
    </cfRule>
    <cfRule type="cellIs" dxfId="11814" priority="1143" operator="equal">
      <formula>0</formula>
    </cfRule>
    <cfRule type="expression" dxfId="11813" priority="1144">
      <formula>$C19&gt;$E$3</formula>
    </cfRule>
  </conditionalFormatting>
  <conditionalFormatting sqref="K19">
    <cfRule type="expression" dxfId="11812" priority="1140">
      <formula>$E19=""</formula>
    </cfRule>
  </conditionalFormatting>
  <conditionalFormatting sqref="K19">
    <cfRule type="expression" dxfId="11811" priority="1139">
      <formula>$C19&lt;$E$3</formula>
    </cfRule>
  </conditionalFormatting>
  <conditionalFormatting sqref="K19">
    <cfRule type="expression" dxfId="11810" priority="1138">
      <formula>$E19=""</formula>
    </cfRule>
  </conditionalFormatting>
  <conditionalFormatting sqref="K19">
    <cfRule type="expression" dxfId="11809" priority="1137">
      <formula>$E19=""</formula>
    </cfRule>
  </conditionalFormatting>
  <conditionalFormatting sqref="K19">
    <cfRule type="expression" dxfId="11808" priority="1136">
      <formula>$C19&lt;$E$3</formula>
    </cfRule>
  </conditionalFormatting>
  <conditionalFormatting sqref="K19">
    <cfRule type="expression" dxfId="11807" priority="1135">
      <formula>$E19=""</formula>
    </cfRule>
  </conditionalFormatting>
  <conditionalFormatting sqref="K19">
    <cfRule type="expression" dxfId="11806" priority="1134">
      <formula>$C19&lt;$E$3</formula>
    </cfRule>
  </conditionalFormatting>
  <conditionalFormatting sqref="K19">
    <cfRule type="expression" dxfId="11805" priority="1133">
      <formula>$E19=""</formula>
    </cfRule>
  </conditionalFormatting>
  <conditionalFormatting sqref="K19">
    <cfRule type="expression" dxfId="11804" priority="1132">
      <formula>$C19&lt;$E$3</formula>
    </cfRule>
  </conditionalFormatting>
  <conditionalFormatting sqref="K19">
    <cfRule type="expression" dxfId="11803" priority="1131">
      <formula>$E19=""</formula>
    </cfRule>
  </conditionalFormatting>
  <conditionalFormatting sqref="K19">
    <cfRule type="expression" dxfId="11802" priority="1130">
      <formula>$C19&lt;$E$3</formula>
    </cfRule>
  </conditionalFormatting>
  <conditionalFormatting sqref="K19">
    <cfRule type="expression" dxfId="11801" priority="1126">
      <formula>$C19=$E$3</formula>
    </cfRule>
    <cfRule type="expression" dxfId="11800" priority="1127">
      <formula>$C19&lt;$E$3</formula>
    </cfRule>
    <cfRule type="cellIs" dxfId="11799" priority="1128" operator="equal">
      <formula>0</formula>
    </cfRule>
    <cfRule type="expression" dxfId="11798" priority="1129">
      <formula>$C19&gt;$E$3</formula>
    </cfRule>
  </conditionalFormatting>
  <conditionalFormatting sqref="K19">
    <cfRule type="expression" dxfId="11797" priority="1125">
      <formula>$C19&lt;$E$3</formula>
    </cfRule>
  </conditionalFormatting>
  <conditionalFormatting sqref="K19">
    <cfRule type="expression" dxfId="11796" priority="1121">
      <formula>$C19=$E$3</formula>
    </cfRule>
    <cfRule type="expression" dxfId="11795" priority="1122">
      <formula>$C19&lt;$E$3</formula>
    </cfRule>
    <cfRule type="cellIs" dxfId="11794" priority="1123" operator="equal">
      <formula>0</formula>
    </cfRule>
    <cfRule type="expression" dxfId="11793" priority="1124">
      <formula>$C19&gt;$E$3</formula>
    </cfRule>
  </conditionalFormatting>
  <conditionalFormatting sqref="K19">
    <cfRule type="expression" dxfId="11792" priority="1120">
      <formula>$C19&lt;$E$3</formula>
    </cfRule>
  </conditionalFormatting>
  <conditionalFormatting sqref="K19">
    <cfRule type="expression" dxfId="11791" priority="1116">
      <formula>$C19=$E$3</formula>
    </cfRule>
    <cfRule type="expression" dxfId="11790" priority="1117">
      <formula>$C19&lt;$E$3</formula>
    </cfRule>
    <cfRule type="cellIs" dxfId="11789" priority="1118" operator="equal">
      <formula>0</formula>
    </cfRule>
    <cfRule type="expression" dxfId="11788" priority="1119">
      <formula>$C19&gt;$E$3</formula>
    </cfRule>
  </conditionalFormatting>
  <conditionalFormatting sqref="K19">
    <cfRule type="expression" dxfId="11787" priority="1115">
      <formula>$C19&lt;$E$3</formula>
    </cfRule>
  </conditionalFormatting>
  <conditionalFormatting sqref="K19">
    <cfRule type="expression" dxfId="11786" priority="1111">
      <formula>$C19=$E$3</formula>
    </cfRule>
    <cfRule type="expression" dxfId="11785" priority="1112">
      <formula>$C19&lt;$E$3</formula>
    </cfRule>
    <cfRule type="cellIs" dxfId="11784" priority="1113" operator="equal">
      <formula>0</formula>
    </cfRule>
    <cfRule type="expression" dxfId="11783" priority="1114">
      <formula>$C19&gt;$E$3</formula>
    </cfRule>
  </conditionalFormatting>
  <conditionalFormatting sqref="K19">
    <cfRule type="expression" dxfId="11782" priority="1110">
      <formula>$E19=""</formula>
    </cfRule>
  </conditionalFormatting>
  <conditionalFormatting sqref="K19">
    <cfRule type="expression" dxfId="11781" priority="1109">
      <formula>$C19&lt;$E$3</formula>
    </cfRule>
  </conditionalFormatting>
  <conditionalFormatting sqref="K19">
    <cfRule type="expression" dxfId="11780" priority="1108">
      <formula>$E19=""</formula>
    </cfRule>
  </conditionalFormatting>
  <conditionalFormatting sqref="K19">
    <cfRule type="expression" dxfId="11779" priority="1107">
      <formula>$E19=""</formula>
    </cfRule>
  </conditionalFormatting>
  <conditionalFormatting sqref="K19">
    <cfRule type="expression" dxfId="11778" priority="1106">
      <formula>$C19&lt;$E$3</formula>
    </cfRule>
  </conditionalFormatting>
  <conditionalFormatting sqref="K19">
    <cfRule type="expression" dxfId="11777" priority="1105">
      <formula>$E19=""</formula>
    </cfRule>
  </conditionalFormatting>
  <conditionalFormatting sqref="K19">
    <cfRule type="expression" dxfId="11776" priority="1104">
      <formula>$C19&lt;$E$3</formula>
    </cfRule>
  </conditionalFormatting>
  <conditionalFormatting sqref="K19">
    <cfRule type="expression" dxfId="11775" priority="1103">
      <formula>$E19=""</formula>
    </cfRule>
  </conditionalFormatting>
  <conditionalFormatting sqref="K19">
    <cfRule type="expression" dxfId="11774" priority="1102">
      <formula>$C19&lt;$E$3</formula>
    </cfRule>
  </conditionalFormatting>
  <conditionalFormatting sqref="K19">
    <cfRule type="expression" dxfId="11773" priority="1101">
      <formula>$E19=""</formula>
    </cfRule>
  </conditionalFormatting>
  <conditionalFormatting sqref="K14:K18">
    <cfRule type="expression" dxfId="11772" priority="1100">
      <formula>$C14&lt;$E$3</formula>
    </cfRule>
  </conditionalFormatting>
  <conditionalFormatting sqref="K14:K18">
    <cfRule type="expression" dxfId="11771" priority="1096">
      <formula>$C14=$E$3</formula>
    </cfRule>
    <cfRule type="expression" dxfId="11770" priority="1097">
      <formula>$C14&lt;$E$3</formula>
    </cfRule>
    <cfRule type="cellIs" dxfId="11769" priority="1098" operator="equal">
      <formula>0</formula>
    </cfRule>
    <cfRule type="expression" dxfId="11768" priority="1099">
      <formula>$C14&gt;$E$3</formula>
    </cfRule>
  </conditionalFormatting>
  <conditionalFormatting sqref="K14:K18">
    <cfRule type="expression" dxfId="11767" priority="1095">
      <formula>$C14&lt;$E$3</formula>
    </cfRule>
  </conditionalFormatting>
  <conditionalFormatting sqref="K14:K18">
    <cfRule type="expression" dxfId="11766" priority="1091">
      <formula>$C14=$E$3</formula>
    </cfRule>
    <cfRule type="expression" dxfId="11765" priority="1092">
      <formula>$C14&lt;$E$3</formula>
    </cfRule>
    <cfRule type="cellIs" dxfId="11764" priority="1093" operator="equal">
      <formula>0</formula>
    </cfRule>
    <cfRule type="expression" dxfId="11763" priority="1094">
      <formula>$C14&gt;$E$3</formula>
    </cfRule>
  </conditionalFormatting>
  <conditionalFormatting sqref="K14:K18">
    <cfRule type="expression" dxfId="11762" priority="1090">
      <formula>$C14&lt;$E$3</formula>
    </cfRule>
  </conditionalFormatting>
  <conditionalFormatting sqref="K14:K18">
    <cfRule type="expression" dxfId="11761" priority="1086">
      <formula>$C14=$E$3</formula>
    </cfRule>
    <cfRule type="expression" dxfId="11760" priority="1087">
      <formula>$C14&lt;$E$3</formula>
    </cfRule>
    <cfRule type="cellIs" dxfId="11759" priority="1088" operator="equal">
      <formula>0</formula>
    </cfRule>
    <cfRule type="expression" dxfId="11758" priority="1089">
      <formula>$C14&gt;$E$3</formula>
    </cfRule>
  </conditionalFormatting>
  <conditionalFormatting sqref="K14:K18">
    <cfRule type="expression" dxfId="11757" priority="1085">
      <formula>$C14&lt;$E$3</formula>
    </cfRule>
  </conditionalFormatting>
  <conditionalFormatting sqref="K14:K18">
    <cfRule type="expression" dxfId="11756" priority="1081">
      <formula>$C14=$E$3</formula>
    </cfRule>
    <cfRule type="expression" dxfId="11755" priority="1082">
      <formula>$C14&lt;$E$3</formula>
    </cfRule>
    <cfRule type="cellIs" dxfId="11754" priority="1083" operator="equal">
      <formula>0</formula>
    </cfRule>
    <cfRule type="expression" dxfId="11753" priority="1084">
      <formula>$C14&gt;$E$3</formula>
    </cfRule>
  </conditionalFormatting>
  <conditionalFormatting sqref="K14:K18">
    <cfRule type="expression" dxfId="11752" priority="1080">
      <formula>$E14=""</formula>
    </cfRule>
  </conditionalFormatting>
  <conditionalFormatting sqref="K14:K18">
    <cfRule type="expression" dxfId="11751" priority="1079">
      <formula>$C14&lt;$E$3</formula>
    </cfRule>
  </conditionalFormatting>
  <conditionalFormatting sqref="K14:K18">
    <cfRule type="expression" dxfId="11750" priority="1078">
      <formula>$E14=""</formula>
    </cfRule>
  </conditionalFormatting>
  <conditionalFormatting sqref="K14:K18">
    <cfRule type="expression" dxfId="11749" priority="1077">
      <formula>$E14=""</formula>
    </cfRule>
  </conditionalFormatting>
  <conditionalFormatting sqref="K14:K18">
    <cfRule type="expression" dxfId="11748" priority="1076">
      <formula>$C14&lt;$E$3</formula>
    </cfRule>
  </conditionalFormatting>
  <conditionalFormatting sqref="K14:K18">
    <cfRule type="expression" dxfId="11747" priority="1075">
      <formula>$E14=""</formula>
    </cfRule>
  </conditionalFormatting>
  <conditionalFormatting sqref="K14:K18">
    <cfRule type="expression" dxfId="11746" priority="1074">
      <formula>$C14&lt;$E$3</formula>
    </cfRule>
  </conditionalFormatting>
  <conditionalFormatting sqref="K14:K18">
    <cfRule type="expression" dxfId="11745" priority="1073">
      <formula>$E14=""</formula>
    </cfRule>
  </conditionalFormatting>
  <conditionalFormatting sqref="K14:K18">
    <cfRule type="expression" dxfId="11744" priority="1072">
      <formula>$C14&lt;$E$3</formula>
    </cfRule>
  </conditionalFormatting>
  <conditionalFormatting sqref="K14:K18">
    <cfRule type="expression" dxfId="11743" priority="1071">
      <formula>$E14=""</formula>
    </cfRule>
  </conditionalFormatting>
  <conditionalFormatting sqref="K14:K18">
    <cfRule type="expression" dxfId="11742" priority="1070">
      <formula>$C14&lt;$E$3</formula>
    </cfRule>
  </conditionalFormatting>
  <conditionalFormatting sqref="K14:K18">
    <cfRule type="expression" dxfId="11741" priority="1066">
      <formula>$C14=$E$3</formula>
    </cfRule>
    <cfRule type="expression" dxfId="11740" priority="1067">
      <formula>$C14&lt;$E$3</formula>
    </cfRule>
    <cfRule type="cellIs" dxfId="11739" priority="1068" operator="equal">
      <formula>0</formula>
    </cfRule>
    <cfRule type="expression" dxfId="11738" priority="1069">
      <formula>$C14&gt;$E$3</formula>
    </cfRule>
  </conditionalFormatting>
  <conditionalFormatting sqref="K14:K18">
    <cfRule type="expression" dxfId="11737" priority="1065">
      <formula>$C14&lt;$E$3</formula>
    </cfRule>
  </conditionalFormatting>
  <conditionalFormatting sqref="K14:K18">
    <cfRule type="expression" dxfId="11736" priority="1061">
      <formula>$C14=$E$3</formula>
    </cfRule>
    <cfRule type="expression" dxfId="11735" priority="1062">
      <formula>$C14&lt;$E$3</formula>
    </cfRule>
    <cfRule type="cellIs" dxfId="11734" priority="1063" operator="equal">
      <formula>0</formula>
    </cfRule>
    <cfRule type="expression" dxfId="11733" priority="1064">
      <formula>$C14&gt;$E$3</formula>
    </cfRule>
  </conditionalFormatting>
  <conditionalFormatting sqref="K14:K18">
    <cfRule type="expression" dxfId="11732" priority="1060">
      <formula>$C14&lt;$E$3</formula>
    </cfRule>
  </conditionalFormatting>
  <conditionalFormatting sqref="K14:K18">
    <cfRule type="expression" dxfId="11731" priority="1056">
      <formula>$C14=$E$3</formula>
    </cfRule>
    <cfRule type="expression" dxfId="11730" priority="1057">
      <formula>$C14&lt;$E$3</formula>
    </cfRule>
    <cfRule type="cellIs" dxfId="11729" priority="1058" operator="equal">
      <formula>0</formula>
    </cfRule>
    <cfRule type="expression" dxfId="11728" priority="1059">
      <formula>$C14&gt;$E$3</formula>
    </cfRule>
  </conditionalFormatting>
  <conditionalFormatting sqref="K14:K18">
    <cfRule type="expression" dxfId="11727" priority="1055">
      <formula>$C14&lt;$E$3</formula>
    </cfRule>
  </conditionalFormatting>
  <conditionalFormatting sqref="K14:K18">
    <cfRule type="expression" dxfId="11726" priority="1051">
      <formula>$C14=$E$3</formula>
    </cfRule>
    <cfRule type="expression" dxfId="11725" priority="1052">
      <formula>$C14&lt;$E$3</formula>
    </cfRule>
    <cfRule type="cellIs" dxfId="11724" priority="1053" operator="equal">
      <formula>0</formula>
    </cfRule>
    <cfRule type="expression" dxfId="11723" priority="1054">
      <formula>$C14&gt;$E$3</formula>
    </cfRule>
  </conditionalFormatting>
  <conditionalFormatting sqref="K14:K18">
    <cfRule type="expression" dxfId="11722" priority="1050">
      <formula>$E14=""</formula>
    </cfRule>
  </conditionalFormatting>
  <conditionalFormatting sqref="K14:K18">
    <cfRule type="expression" dxfId="11721" priority="1049">
      <formula>$C14&lt;$E$3</formula>
    </cfRule>
  </conditionalFormatting>
  <conditionalFormatting sqref="K14:K18">
    <cfRule type="expression" dxfId="11720" priority="1048">
      <formula>$E14=""</formula>
    </cfRule>
  </conditionalFormatting>
  <conditionalFormatting sqref="K14:K18">
    <cfRule type="expression" dxfId="11719" priority="1047">
      <formula>$E14=""</formula>
    </cfRule>
  </conditionalFormatting>
  <conditionalFormatting sqref="K14:K18">
    <cfRule type="expression" dxfId="11718" priority="1046">
      <formula>$C14&lt;$E$3</formula>
    </cfRule>
  </conditionalFormatting>
  <conditionalFormatting sqref="K14:K18">
    <cfRule type="expression" dxfId="11717" priority="1045">
      <formula>$E14=""</formula>
    </cfRule>
  </conditionalFormatting>
  <conditionalFormatting sqref="K14:K18">
    <cfRule type="expression" dxfId="11716" priority="1044">
      <formula>$C14&lt;$E$3</formula>
    </cfRule>
  </conditionalFormatting>
  <conditionalFormatting sqref="K14:K18">
    <cfRule type="expression" dxfId="11715" priority="1043">
      <formula>$E14=""</formula>
    </cfRule>
  </conditionalFormatting>
  <conditionalFormatting sqref="K14:K18">
    <cfRule type="expression" dxfId="11714" priority="1042">
      <formula>$C14&lt;$E$3</formula>
    </cfRule>
  </conditionalFormatting>
  <conditionalFormatting sqref="K14:K18">
    <cfRule type="expression" dxfId="11713" priority="1041">
      <formula>$E14=""</formula>
    </cfRule>
  </conditionalFormatting>
  <conditionalFormatting sqref="K14:K20">
    <cfRule type="expression" dxfId="11712" priority="1039">
      <formula>$C14&lt;$E$3</formula>
    </cfRule>
  </conditionalFormatting>
  <conditionalFormatting sqref="K14:K20">
    <cfRule type="expression" dxfId="11711" priority="1036">
      <formula>$C14=$E$3</formula>
    </cfRule>
    <cfRule type="expression" dxfId="11710" priority="1037">
      <formula>$C14&lt;$E$3</formula>
    </cfRule>
    <cfRule type="cellIs" dxfId="11709" priority="1038" operator="equal">
      <formula>0</formula>
    </cfRule>
    <cfRule type="expression" dxfId="11708" priority="1040">
      <formula>$C14&gt;$E$3</formula>
    </cfRule>
  </conditionalFormatting>
  <conditionalFormatting sqref="K14:K20">
    <cfRule type="expression" dxfId="11707" priority="1035">
      <formula>$E14=""</formula>
    </cfRule>
  </conditionalFormatting>
  <conditionalFormatting sqref="K14:K20">
    <cfRule type="expression" dxfId="11706" priority="1034">
      <formula>$E14=""</formula>
    </cfRule>
  </conditionalFormatting>
  <conditionalFormatting sqref="K14:K20">
    <cfRule type="expression" dxfId="11705" priority="1033">
      <formula>$E14=""</formula>
    </cfRule>
  </conditionalFormatting>
  <conditionalFormatting sqref="K23:K29">
    <cfRule type="cellIs" dxfId="11704" priority="1032" stopIfTrue="1" operator="lessThan">
      <formula>0</formula>
    </cfRule>
  </conditionalFormatting>
  <conditionalFormatting sqref="K23:K29">
    <cfRule type="expression" dxfId="11703" priority="1030">
      <formula>$C23&lt;$E$3</formula>
    </cfRule>
  </conditionalFormatting>
  <conditionalFormatting sqref="K23:K29">
    <cfRule type="expression" dxfId="11702" priority="1027">
      <formula>$C23=$E$3</formula>
    </cfRule>
    <cfRule type="expression" dxfId="11701" priority="1028">
      <formula>$C23&lt;$E$3</formula>
    </cfRule>
    <cfRule type="cellIs" dxfId="11700" priority="1029" operator="equal">
      <formula>0</formula>
    </cfRule>
    <cfRule type="expression" dxfId="11699" priority="1031">
      <formula>$C23&gt;$E$3</formula>
    </cfRule>
  </conditionalFormatting>
  <conditionalFormatting sqref="K23:K29">
    <cfRule type="expression" dxfId="11698" priority="1026">
      <formula>$E23=""</formula>
    </cfRule>
  </conditionalFormatting>
  <conditionalFormatting sqref="K23:K29">
    <cfRule type="expression" dxfId="11697" priority="1025">
      <formula>$E23=""</formula>
    </cfRule>
  </conditionalFormatting>
  <conditionalFormatting sqref="K23:K29">
    <cfRule type="expression" dxfId="11696" priority="1024">
      <formula>$E23=""</formula>
    </cfRule>
  </conditionalFormatting>
  <conditionalFormatting sqref="K28">
    <cfRule type="expression" dxfId="11695" priority="1023">
      <formula>$C28&lt;$E$3</formula>
    </cfRule>
  </conditionalFormatting>
  <conditionalFormatting sqref="K28">
    <cfRule type="expression" dxfId="11694" priority="1019">
      <formula>$C28=$E$3</formula>
    </cfRule>
    <cfRule type="expression" dxfId="11693" priority="1020">
      <formula>$C28&lt;$E$3</formula>
    </cfRule>
    <cfRule type="cellIs" dxfId="11692" priority="1021" operator="equal">
      <formula>0</formula>
    </cfRule>
    <cfRule type="expression" dxfId="11691" priority="1022">
      <formula>$C28&gt;$E$3</formula>
    </cfRule>
  </conditionalFormatting>
  <conditionalFormatting sqref="K28">
    <cfRule type="expression" dxfId="11690" priority="1018">
      <formula>$C28&lt;$E$3</formula>
    </cfRule>
  </conditionalFormatting>
  <conditionalFormatting sqref="K28">
    <cfRule type="expression" dxfId="11689" priority="1014">
      <formula>$C28=$E$3</formula>
    </cfRule>
    <cfRule type="expression" dxfId="11688" priority="1015">
      <formula>$C28&lt;$E$3</formula>
    </cfRule>
    <cfRule type="cellIs" dxfId="11687" priority="1016" operator="equal">
      <formula>0</formula>
    </cfRule>
    <cfRule type="expression" dxfId="11686" priority="1017">
      <formula>$C28&gt;$E$3</formula>
    </cfRule>
  </conditionalFormatting>
  <conditionalFormatting sqref="K28">
    <cfRule type="expression" dxfId="11685" priority="1013">
      <formula>$C28&lt;$E$3</formula>
    </cfRule>
  </conditionalFormatting>
  <conditionalFormatting sqref="K28">
    <cfRule type="expression" dxfId="11684" priority="1009">
      <formula>$C28=$E$3</formula>
    </cfRule>
    <cfRule type="expression" dxfId="11683" priority="1010">
      <formula>$C28&lt;$E$3</formula>
    </cfRule>
    <cfRule type="cellIs" dxfId="11682" priority="1011" operator="equal">
      <formula>0</formula>
    </cfRule>
    <cfRule type="expression" dxfId="11681" priority="1012">
      <formula>$C28&gt;$E$3</formula>
    </cfRule>
  </conditionalFormatting>
  <conditionalFormatting sqref="K28">
    <cfRule type="expression" dxfId="11680" priority="1008">
      <formula>$C28&lt;$E$3</formula>
    </cfRule>
  </conditionalFormatting>
  <conditionalFormatting sqref="K28">
    <cfRule type="expression" dxfId="11679" priority="1004">
      <formula>$C28=$E$3</formula>
    </cfRule>
    <cfRule type="expression" dxfId="11678" priority="1005">
      <formula>$C28&lt;$E$3</formula>
    </cfRule>
    <cfRule type="cellIs" dxfId="11677" priority="1006" operator="equal">
      <formula>0</formula>
    </cfRule>
    <cfRule type="expression" dxfId="11676" priority="1007">
      <formula>$C28&gt;$E$3</formula>
    </cfRule>
  </conditionalFormatting>
  <conditionalFormatting sqref="K28">
    <cfRule type="expression" dxfId="11675" priority="1003">
      <formula>$E28=""</formula>
    </cfRule>
  </conditionalFormatting>
  <conditionalFormatting sqref="K28">
    <cfRule type="expression" dxfId="11674" priority="1002">
      <formula>$C28&lt;$E$3</formula>
    </cfRule>
  </conditionalFormatting>
  <conditionalFormatting sqref="K28">
    <cfRule type="expression" dxfId="11673" priority="1001">
      <formula>$E28=""</formula>
    </cfRule>
  </conditionalFormatting>
  <conditionalFormatting sqref="K28">
    <cfRule type="expression" dxfId="11672" priority="1000">
      <formula>$E28=""</formula>
    </cfRule>
  </conditionalFormatting>
  <conditionalFormatting sqref="K28">
    <cfRule type="expression" dxfId="11671" priority="999">
      <formula>$C28&lt;$E$3</formula>
    </cfRule>
  </conditionalFormatting>
  <conditionalFormatting sqref="K28">
    <cfRule type="expression" dxfId="11670" priority="998">
      <formula>$E28=""</formula>
    </cfRule>
  </conditionalFormatting>
  <conditionalFormatting sqref="K28">
    <cfRule type="expression" dxfId="11669" priority="997">
      <formula>$C28&lt;$E$3</formula>
    </cfRule>
  </conditionalFormatting>
  <conditionalFormatting sqref="K28">
    <cfRule type="expression" dxfId="11668" priority="996">
      <formula>$E28=""</formula>
    </cfRule>
  </conditionalFormatting>
  <conditionalFormatting sqref="K28">
    <cfRule type="expression" dxfId="11667" priority="995">
      <formula>$C28&lt;$E$3</formula>
    </cfRule>
  </conditionalFormatting>
  <conditionalFormatting sqref="K28">
    <cfRule type="expression" dxfId="11666" priority="994">
      <formula>$E28=""</formula>
    </cfRule>
  </conditionalFormatting>
  <conditionalFormatting sqref="K28">
    <cfRule type="expression" dxfId="11665" priority="993">
      <formula>$C28&lt;$E$3</formula>
    </cfRule>
  </conditionalFormatting>
  <conditionalFormatting sqref="K28">
    <cfRule type="expression" dxfId="11664" priority="989">
      <formula>$C28=$E$3</formula>
    </cfRule>
    <cfRule type="expression" dxfId="11663" priority="990">
      <formula>$C28&lt;$E$3</formula>
    </cfRule>
    <cfRule type="cellIs" dxfId="11662" priority="991" operator="equal">
      <formula>0</formula>
    </cfRule>
    <cfRule type="expression" dxfId="11661" priority="992">
      <formula>$C28&gt;$E$3</formula>
    </cfRule>
  </conditionalFormatting>
  <conditionalFormatting sqref="K28">
    <cfRule type="expression" dxfId="11660" priority="988">
      <formula>$C28&lt;$E$3</formula>
    </cfRule>
  </conditionalFormatting>
  <conditionalFormatting sqref="K28">
    <cfRule type="expression" dxfId="11659" priority="984">
      <formula>$C28=$E$3</formula>
    </cfRule>
    <cfRule type="expression" dxfId="11658" priority="985">
      <formula>$C28&lt;$E$3</formula>
    </cfRule>
    <cfRule type="cellIs" dxfId="11657" priority="986" operator="equal">
      <formula>0</formula>
    </cfRule>
    <cfRule type="expression" dxfId="11656" priority="987">
      <formula>$C28&gt;$E$3</formula>
    </cfRule>
  </conditionalFormatting>
  <conditionalFormatting sqref="K28">
    <cfRule type="expression" dxfId="11655" priority="983">
      <formula>$C28&lt;$E$3</formula>
    </cfRule>
  </conditionalFormatting>
  <conditionalFormatting sqref="K28">
    <cfRule type="expression" dxfId="11654" priority="979">
      <formula>$C28=$E$3</formula>
    </cfRule>
    <cfRule type="expression" dxfId="11653" priority="980">
      <formula>$C28&lt;$E$3</formula>
    </cfRule>
    <cfRule type="cellIs" dxfId="11652" priority="981" operator="equal">
      <formula>0</formula>
    </cfRule>
    <cfRule type="expression" dxfId="11651" priority="982">
      <formula>$C28&gt;$E$3</formula>
    </cfRule>
  </conditionalFormatting>
  <conditionalFormatting sqref="K28">
    <cfRule type="expression" dxfId="11650" priority="978">
      <formula>$C28&lt;$E$3</formula>
    </cfRule>
  </conditionalFormatting>
  <conditionalFormatting sqref="K28">
    <cfRule type="expression" dxfId="11649" priority="974">
      <formula>$C28=$E$3</formula>
    </cfRule>
    <cfRule type="expression" dxfId="11648" priority="975">
      <formula>$C28&lt;$E$3</formula>
    </cfRule>
    <cfRule type="cellIs" dxfId="11647" priority="976" operator="equal">
      <formula>0</formula>
    </cfRule>
    <cfRule type="expression" dxfId="11646" priority="977">
      <formula>$C28&gt;$E$3</formula>
    </cfRule>
  </conditionalFormatting>
  <conditionalFormatting sqref="K28">
    <cfRule type="expression" dxfId="11645" priority="973">
      <formula>$E28=""</formula>
    </cfRule>
  </conditionalFormatting>
  <conditionalFormatting sqref="K28">
    <cfRule type="expression" dxfId="11644" priority="972">
      <formula>$C28&lt;$E$3</formula>
    </cfRule>
  </conditionalFormatting>
  <conditionalFormatting sqref="K28">
    <cfRule type="expression" dxfId="11643" priority="971">
      <formula>$E28=""</formula>
    </cfRule>
  </conditionalFormatting>
  <conditionalFormatting sqref="K28">
    <cfRule type="expression" dxfId="11642" priority="970">
      <formula>$E28=""</formula>
    </cfRule>
  </conditionalFormatting>
  <conditionalFormatting sqref="K28">
    <cfRule type="expression" dxfId="11641" priority="969">
      <formula>$C28&lt;$E$3</formula>
    </cfRule>
  </conditionalFormatting>
  <conditionalFormatting sqref="K28">
    <cfRule type="expression" dxfId="11640" priority="968">
      <formula>$E28=""</formula>
    </cfRule>
  </conditionalFormatting>
  <conditionalFormatting sqref="K28">
    <cfRule type="expression" dxfId="11639" priority="967">
      <formula>$C28&lt;$E$3</formula>
    </cfRule>
  </conditionalFormatting>
  <conditionalFormatting sqref="K28">
    <cfRule type="expression" dxfId="11638" priority="966">
      <formula>$E28=""</formula>
    </cfRule>
  </conditionalFormatting>
  <conditionalFormatting sqref="K28">
    <cfRule type="expression" dxfId="11637" priority="965">
      <formula>$C28&lt;$E$3</formula>
    </cfRule>
  </conditionalFormatting>
  <conditionalFormatting sqref="K28">
    <cfRule type="expression" dxfId="11636" priority="964">
      <formula>$E28=""</formula>
    </cfRule>
  </conditionalFormatting>
  <conditionalFormatting sqref="K23:K27">
    <cfRule type="expression" dxfId="11635" priority="963">
      <formula>$C23&lt;$E$3</formula>
    </cfRule>
  </conditionalFormatting>
  <conditionalFormatting sqref="K23:K27">
    <cfRule type="expression" dxfId="11634" priority="959">
      <formula>$C23=$E$3</formula>
    </cfRule>
    <cfRule type="expression" dxfId="11633" priority="960">
      <formula>$C23&lt;$E$3</formula>
    </cfRule>
    <cfRule type="cellIs" dxfId="11632" priority="961" operator="equal">
      <formula>0</formula>
    </cfRule>
    <cfRule type="expression" dxfId="11631" priority="962">
      <formula>$C23&gt;$E$3</formula>
    </cfRule>
  </conditionalFormatting>
  <conditionalFormatting sqref="K23:K27">
    <cfRule type="expression" dxfId="11630" priority="958">
      <formula>$C23&lt;$E$3</formula>
    </cfRule>
  </conditionalFormatting>
  <conditionalFormatting sqref="K23:K27">
    <cfRule type="expression" dxfId="11629" priority="954">
      <formula>$C23=$E$3</formula>
    </cfRule>
    <cfRule type="expression" dxfId="11628" priority="955">
      <formula>$C23&lt;$E$3</formula>
    </cfRule>
    <cfRule type="cellIs" dxfId="11627" priority="956" operator="equal">
      <formula>0</formula>
    </cfRule>
    <cfRule type="expression" dxfId="11626" priority="957">
      <formula>$C23&gt;$E$3</formula>
    </cfRule>
  </conditionalFormatting>
  <conditionalFormatting sqref="K23:K27">
    <cfRule type="expression" dxfId="11625" priority="953">
      <formula>$C23&lt;$E$3</formula>
    </cfRule>
  </conditionalFormatting>
  <conditionalFormatting sqref="K23:K27">
    <cfRule type="expression" dxfId="11624" priority="949">
      <formula>$C23=$E$3</formula>
    </cfRule>
    <cfRule type="expression" dxfId="11623" priority="950">
      <formula>$C23&lt;$E$3</formula>
    </cfRule>
    <cfRule type="cellIs" dxfId="11622" priority="951" operator="equal">
      <formula>0</formula>
    </cfRule>
    <cfRule type="expression" dxfId="11621" priority="952">
      <formula>$C23&gt;$E$3</formula>
    </cfRule>
  </conditionalFormatting>
  <conditionalFormatting sqref="K23:K27">
    <cfRule type="expression" dxfId="11620" priority="948">
      <formula>$C23&lt;$E$3</formula>
    </cfRule>
  </conditionalFormatting>
  <conditionalFormatting sqref="K23:K27">
    <cfRule type="expression" dxfId="11619" priority="944">
      <formula>$C23=$E$3</formula>
    </cfRule>
    <cfRule type="expression" dxfId="11618" priority="945">
      <formula>$C23&lt;$E$3</formula>
    </cfRule>
    <cfRule type="cellIs" dxfId="11617" priority="946" operator="equal">
      <formula>0</formula>
    </cfRule>
    <cfRule type="expression" dxfId="11616" priority="947">
      <formula>$C23&gt;$E$3</formula>
    </cfRule>
  </conditionalFormatting>
  <conditionalFormatting sqref="K23:K27">
    <cfRule type="expression" dxfId="11615" priority="943">
      <formula>$E23=""</formula>
    </cfRule>
  </conditionalFormatting>
  <conditionalFormatting sqref="K23:K27">
    <cfRule type="expression" dxfId="11614" priority="942">
      <formula>$C23&lt;$E$3</formula>
    </cfRule>
  </conditionalFormatting>
  <conditionalFormatting sqref="K23:K27">
    <cfRule type="expression" dxfId="11613" priority="941">
      <formula>$E23=""</formula>
    </cfRule>
  </conditionalFormatting>
  <conditionalFormatting sqref="K23:K27">
    <cfRule type="expression" dxfId="11612" priority="940">
      <formula>$E23=""</formula>
    </cfRule>
  </conditionalFormatting>
  <conditionalFormatting sqref="K23:K27">
    <cfRule type="expression" dxfId="11611" priority="939">
      <formula>$C23&lt;$E$3</formula>
    </cfRule>
  </conditionalFormatting>
  <conditionalFormatting sqref="K23:K27">
    <cfRule type="expression" dxfId="11610" priority="938">
      <formula>$E23=""</formula>
    </cfRule>
  </conditionalFormatting>
  <conditionalFormatting sqref="K23:K27">
    <cfRule type="expression" dxfId="11609" priority="937">
      <formula>$C23&lt;$E$3</formula>
    </cfRule>
  </conditionalFormatting>
  <conditionalFormatting sqref="K23:K27">
    <cfRule type="expression" dxfId="11608" priority="936">
      <formula>$E23=""</formula>
    </cfRule>
  </conditionalFormatting>
  <conditionalFormatting sqref="K23:K27">
    <cfRule type="expression" dxfId="11607" priority="935">
      <formula>$C23&lt;$E$3</formula>
    </cfRule>
  </conditionalFormatting>
  <conditionalFormatting sqref="K23:K27">
    <cfRule type="expression" dxfId="11606" priority="934">
      <formula>$E23=""</formula>
    </cfRule>
  </conditionalFormatting>
  <conditionalFormatting sqref="K23:K27">
    <cfRule type="expression" dxfId="11605" priority="933">
      <formula>$C23&lt;$E$3</formula>
    </cfRule>
  </conditionalFormatting>
  <conditionalFormatting sqref="K23:K27">
    <cfRule type="expression" dxfId="11604" priority="929">
      <formula>$C23=$E$3</formula>
    </cfRule>
    <cfRule type="expression" dxfId="11603" priority="930">
      <formula>$C23&lt;$E$3</formula>
    </cfRule>
    <cfRule type="cellIs" dxfId="11602" priority="931" operator="equal">
      <formula>0</formula>
    </cfRule>
    <cfRule type="expression" dxfId="11601" priority="932">
      <formula>$C23&gt;$E$3</formula>
    </cfRule>
  </conditionalFormatting>
  <conditionalFormatting sqref="K23:K27">
    <cfRule type="expression" dxfId="11600" priority="928">
      <formula>$C23&lt;$E$3</formula>
    </cfRule>
  </conditionalFormatting>
  <conditionalFormatting sqref="K23:K27">
    <cfRule type="expression" dxfId="11599" priority="924">
      <formula>$C23=$E$3</formula>
    </cfRule>
    <cfRule type="expression" dxfId="11598" priority="925">
      <formula>$C23&lt;$E$3</formula>
    </cfRule>
    <cfRule type="cellIs" dxfId="11597" priority="926" operator="equal">
      <formula>0</formula>
    </cfRule>
    <cfRule type="expression" dxfId="11596" priority="927">
      <formula>$C23&gt;$E$3</formula>
    </cfRule>
  </conditionalFormatting>
  <conditionalFormatting sqref="K23:K27">
    <cfRule type="expression" dxfId="11595" priority="923">
      <formula>$C23&lt;$E$3</formula>
    </cfRule>
  </conditionalFormatting>
  <conditionalFormatting sqref="K23:K27">
    <cfRule type="expression" dxfId="11594" priority="919">
      <formula>$C23=$E$3</formula>
    </cfRule>
    <cfRule type="expression" dxfId="11593" priority="920">
      <formula>$C23&lt;$E$3</formula>
    </cfRule>
    <cfRule type="cellIs" dxfId="11592" priority="921" operator="equal">
      <formula>0</formula>
    </cfRule>
    <cfRule type="expression" dxfId="11591" priority="922">
      <formula>$C23&gt;$E$3</formula>
    </cfRule>
  </conditionalFormatting>
  <conditionalFormatting sqref="K23:K27">
    <cfRule type="expression" dxfId="11590" priority="918">
      <formula>$C23&lt;$E$3</formula>
    </cfRule>
  </conditionalFormatting>
  <conditionalFormatting sqref="K23:K27">
    <cfRule type="expression" dxfId="11589" priority="914">
      <formula>$C23=$E$3</formula>
    </cfRule>
    <cfRule type="expression" dxfId="11588" priority="915">
      <formula>$C23&lt;$E$3</formula>
    </cfRule>
    <cfRule type="cellIs" dxfId="11587" priority="916" operator="equal">
      <formula>0</formula>
    </cfRule>
    <cfRule type="expression" dxfId="11586" priority="917">
      <formula>$C23&gt;$E$3</formula>
    </cfRule>
  </conditionalFormatting>
  <conditionalFormatting sqref="K23:K27">
    <cfRule type="expression" dxfId="11585" priority="913">
      <formula>$E23=""</formula>
    </cfRule>
  </conditionalFormatting>
  <conditionalFormatting sqref="K23:K27">
    <cfRule type="expression" dxfId="11584" priority="912">
      <formula>$C23&lt;$E$3</formula>
    </cfRule>
  </conditionalFormatting>
  <conditionalFormatting sqref="K23:K27">
    <cfRule type="expression" dxfId="11583" priority="911">
      <formula>$E23=""</formula>
    </cfRule>
  </conditionalFormatting>
  <conditionalFormatting sqref="K23:K27">
    <cfRule type="expression" dxfId="11582" priority="910">
      <formula>$E23=""</formula>
    </cfRule>
  </conditionalFormatting>
  <conditionalFormatting sqref="K23:K27">
    <cfRule type="expression" dxfId="11581" priority="909">
      <formula>$C23&lt;$E$3</formula>
    </cfRule>
  </conditionalFormatting>
  <conditionalFormatting sqref="K23:K27">
    <cfRule type="expression" dxfId="11580" priority="908">
      <formula>$E23=""</formula>
    </cfRule>
  </conditionalFormatting>
  <conditionalFormatting sqref="K23:K27">
    <cfRule type="expression" dxfId="11579" priority="907">
      <formula>$C23&lt;$E$3</formula>
    </cfRule>
  </conditionalFormatting>
  <conditionalFormatting sqref="K23:K27">
    <cfRule type="expression" dxfId="11578" priority="906">
      <formula>$E23=""</formula>
    </cfRule>
  </conditionalFormatting>
  <conditionalFormatting sqref="K23:K27">
    <cfRule type="expression" dxfId="11577" priority="905">
      <formula>$C23&lt;$E$3</formula>
    </cfRule>
  </conditionalFormatting>
  <conditionalFormatting sqref="K23:K27">
    <cfRule type="expression" dxfId="11576" priority="904">
      <formula>$E23=""</formula>
    </cfRule>
  </conditionalFormatting>
  <conditionalFormatting sqref="K23:K29">
    <cfRule type="expression" dxfId="11575" priority="902">
      <formula>$C23&lt;$E$3</formula>
    </cfRule>
  </conditionalFormatting>
  <conditionalFormatting sqref="K23:K29">
    <cfRule type="expression" dxfId="11574" priority="899">
      <formula>$C23=$E$3</formula>
    </cfRule>
    <cfRule type="expression" dxfId="11573" priority="900">
      <formula>$C23&lt;$E$3</formula>
    </cfRule>
    <cfRule type="cellIs" dxfId="11572" priority="901" operator="equal">
      <formula>0</formula>
    </cfRule>
    <cfRule type="expression" dxfId="11571" priority="903">
      <formula>$C23&gt;$E$3</formula>
    </cfRule>
  </conditionalFormatting>
  <conditionalFormatting sqref="K23:K29">
    <cfRule type="expression" dxfId="11570" priority="898">
      <formula>$E23=""</formula>
    </cfRule>
  </conditionalFormatting>
  <conditionalFormatting sqref="K23:K29">
    <cfRule type="expression" dxfId="11569" priority="897">
      <formula>$E23=""</formula>
    </cfRule>
  </conditionalFormatting>
  <conditionalFormatting sqref="K23:K29">
    <cfRule type="expression" dxfId="11568" priority="896">
      <formula>$E23=""</formula>
    </cfRule>
  </conditionalFormatting>
  <conditionalFormatting sqref="K32:K38">
    <cfRule type="cellIs" dxfId="11567" priority="895" stopIfTrue="1" operator="lessThan">
      <formula>0</formula>
    </cfRule>
  </conditionalFormatting>
  <conditionalFormatting sqref="K32:K38">
    <cfRule type="expression" dxfId="11566" priority="893">
      <formula>$C32&lt;$E$3</formula>
    </cfRule>
  </conditionalFormatting>
  <conditionalFormatting sqref="K32:K38">
    <cfRule type="expression" dxfId="11565" priority="890">
      <formula>$C32=$E$3</formula>
    </cfRule>
    <cfRule type="expression" dxfId="11564" priority="891">
      <formula>$C32&lt;$E$3</formula>
    </cfRule>
    <cfRule type="cellIs" dxfId="11563" priority="892" operator="equal">
      <formula>0</formula>
    </cfRule>
    <cfRule type="expression" dxfId="11562" priority="894">
      <formula>$C32&gt;$E$3</formula>
    </cfRule>
  </conditionalFormatting>
  <conditionalFormatting sqref="K32:K38">
    <cfRule type="expression" dxfId="11561" priority="889">
      <formula>$E32=""</formula>
    </cfRule>
  </conditionalFormatting>
  <conditionalFormatting sqref="K32:K38">
    <cfRule type="expression" dxfId="11560" priority="888">
      <formula>$E32=""</formula>
    </cfRule>
  </conditionalFormatting>
  <conditionalFormatting sqref="K32:K38">
    <cfRule type="expression" dxfId="11559" priority="887">
      <formula>$E32=""</formula>
    </cfRule>
  </conditionalFormatting>
  <conditionalFormatting sqref="K37">
    <cfRule type="expression" dxfId="11558" priority="886">
      <formula>$C37&lt;$E$3</formula>
    </cfRule>
  </conditionalFormatting>
  <conditionalFormatting sqref="K37">
    <cfRule type="expression" dxfId="11557" priority="882">
      <formula>$C37=$E$3</formula>
    </cfRule>
    <cfRule type="expression" dxfId="11556" priority="883">
      <formula>$C37&lt;$E$3</formula>
    </cfRule>
    <cfRule type="cellIs" dxfId="11555" priority="884" operator="equal">
      <formula>0</formula>
    </cfRule>
    <cfRule type="expression" dxfId="11554" priority="885">
      <formula>$C37&gt;$E$3</formula>
    </cfRule>
  </conditionalFormatting>
  <conditionalFormatting sqref="K37">
    <cfRule type="expression" dxfId="11553" priority="881">
      <formula>$C37&lt;$E$3</formula>
    </cfRule>
  </conditionalFormatting>
  <conditionalFormatting sqref="K37">
    <cfRule type="expression" dxfId="11552" priority="877">
      <formula>$C37=$E$3</formula>
    </cfRule>
    <cfRule type="expression" dxfId="11551" priority="878">
      <formula>$C37&lt;$E$3</formula>
    </cfRule>
    <cfRule type="cellIs" dxfId="11550" priority="879" operator="equal">
      <formula>0</formula>
    </cfRule>
    <cfRule type="expression" dxfId="11549" priority="880">
      <formula>$C37&gt;$E$3</formula>
    </cfRule>
  </conditionalFormatting>
  <conditionalFormatting sqref="K37">
    <cfRule type="expression" dxfId="11548" priority="866">
      <formula>$E37=""</formula>
    </cfRule>
  </conditionalFormatting>
  <conditionalFormatting sqref="K37">
    <cfRule type="expression" dxfId="11547" priority="865">
      <formula>$C37&lt;$E$3</formula>
    </cfRule>
  </conditionalFormatting>
  <conditionalFormatting sqref="K37">
    <cfRule type="expression" dxfId="11546" priority="864">
      <formula>$E37=""</formula>
    </cfRule>
  </conditionalFormatting>
  <conditionalFormatting sqref="K37">
    <cfRule type="expression" dxfId="11545" priority="863">
      <formula>$E37=""</formula>
    </cfRule>
  </conditionalFormatting>
  <conditionalFormatting sqref="K37">
    <cfRule type="expression" dxfId="11544" priority="862">
      <formula>$C37&lt;$E$3</formula>
    </cfRule>
  </conditionalFormatting>
  <conditionalFormatting sqref="K37">
    <cfRule type="expression" dxfId="11543" priority="861">
      <formula>$E37=""</formula>
    </cfRule>
  </conditionalFormatting>
  <conditionalFormatting sqref="K37">
    <cfRule type="expression" dxfId="11542" priority="860">
      <formula>$C37&lt;$E$3</formula>
    </cfRule>
  </conditionalFormatting>
  <conditionalFormatting sqref="K37">
    <cfRule type="expression" dxfId="11541" priority="859">
      <formula>$E37=""</formula>
    </cfRule>
  </conditionalFormatting>
  <conditionalFormatting sqref="K37">
    <cfRule type="expression" dxfId="11540" priority="858">
      <formula>$C37&lt;$E$3</formula>
    </cfRule>
  </conditionalFormatting>
  <conditionalFormatting sqref="K37">
    <cfRule type="expression" dxfId="11539" priority="857">
      <formula>$E37=""</formula>
    </cfRule>
  </conditionalFormatting>
  <conditionalFormatting sqref="K37">
    <cfRule type="expression" dxfId="11538" priority="856">
      <formula>$C37&lt;$E$3</formula>
    </cfRule>
  </conditionalFormatting>
  <conditionalFormatting sqref="K37">
    <cfRule type="expression" dxfId="11537" priority="852">
      <formula>$C37=$E$3</formula>
    </cfRule>
    <cfRule type="expression" dxfId="11536" priority="853">
      <formula>$C37&lt;$E$3</formula>
    </cfRule>
    <cfRule type="cellIs" dxfId="11535" priority="854" operator="equal">
      <formula>0</formula>
    </cfRule>
    <cfRule type="expression" dxfId="11534" priority="855">
      <formula>$C37&gt;$E$3</formula>
    </cfRule>
  </conditionalFormatting>
  <conditionalFormatting sqref="K37">
    <cfRule type="expression" dxfId="11533" priority="851">
      <formula>$C37&lt;$E$3</formula>
    </cfRule>
  </conditionalFormatting>
  <conditionalFormatting sqref="K37">
    <cfRule type="expression" dxfId="11532" priority="847">
      <formula>$C37=$E$3</formula>
    </cfRule>
    <cfRule type="expression" dxfId="11531" priority="848">
      <formula>$C37&lt;$E$3</formula>
    </cfRule>
    <cfRule type="cellIs" dxfId="11530" priority="849" operator="equal">
      <formula>0</formula>
    </cfRule>
    <cfRule type="expression" dxfId="11529" priority="850">
      <formula>$C37&gt;$E$3</formula>
    </cfRule>
  </conditionalFormatting>
  <conditionalFormatting sqref="K37">
    <cfRule type="expression" dxfId="11528" priority="836">
      <formula>$E37=""</formula>
    </cfRule>
  </conditionalFormatting>
  <conditionalFormatting sqref="K37">
    <cfRule type="expression" dxfId="11527" priority="835">
      <formula>$C37&lt;$E$3</formula>
    </cfRule>
  </conditionalFormatting>
  <conditionalFormatting sqref="K37">
    <cfRule type="expression" dxfId="11526" priority="834">
      <formula>$E37=""</formula>
    </cfRule>
  </conditionalFormatting>
  <conditionalFormatting sqref="K37">
    <cfRule type="expression" dxfId="11525" priority="833">
      <formula>$E37=""</formula>
    </cfRule>
  </conditionalFormatting>
  <conditionalFormatting sqref="K37">
    <cfRule type="expression" dxfId="11524" priority="832">
      <formula>$C37&lt;$E$3</formula>
    </cfRule>
  </conditionalFormatting>
  <conditionalFormatting sqref="K37">
    <cfRule type="expression" dxfId="11523" priority="831">
      <formula>$E37=""</formula>
    </cfRule>
  </conditionalFormatting>
  <conditionalFormatting sqref="K37">
    <cfRule type="expression" dxfId="11522" priority="830">
      <formula>$C37&lt;$E$3</formula>
    </cfRule>
  </conditionalFormatting>
  <conditionalFormatting sqref="K37">
    <cfRule type="expression" dxfId="11521" priority="829">
      <formula>$E37=""</formula>
    </cfRule>
  </conditionalFormatting>
  <conditionalFormatting sqref="K37">
    <cfRule type="expression" dxfId="11520" priority="828">
      <formula>$C37&lt;$E$3</formula>
    </cfRule>
  </conditionalFormatting>
  <conditionalFormatting sqref="K37">
    <cfRule type="expression" dxfId="11519" priority="827">
      <formula>$E37=""</formula>
    </cfRule>
  </conditionalFormatting>
  <conditionalFormatting sqref="K32:K36">
    <cfRule type="expression" dxfId="11518" priority="826">
      <formula>$C32&lt;$E$3</formula>
    </cfRule>
  </conditionalFormatting>
  <conditionalFormatting sqref="K32:K36">
    <cfRule type="expression" dxfId="11517" priority="822">
      <formula>$C32=$E$3</formula>
    </cfRule>
    <cfRule type="expression" dxfId="11516" priority="823">
      <formula>$C32&lt;$E$3</formula>
    </cfRule>
    <cfRule type="cellIs" dxfId="11515" priority="824" operator="equal">
      <formula>0</formula>
    </cfRule>
    <cfRule type="expression" dxfId="11514" priority="825">
      <formula>$C32&gt;$E$3</formula>
    </cfRule>
  </conditionalFormatting>
  <conditionalFormatting sqref="K32:K36">
    <cfRule type="expression" dxfId="11513" priority="821">
      <formula>$C32&lt;$E$3</formula>
    </cfRule>
  </conditionalFormatting>
  <conditionalFormatting sqref="K32:K36">
    <cfRule type="expression" dxfId="11512" priority="817">
      <formula>$C32=$E$3</formula>
    </cfRule>
    <cfRule type="expression" dxfId="11511" priority="818">
      <formula>$C32&lt;$E$3</formula>
    </cfRule>
    <cfRule type="cellIs" dxfId="11510" priority="819" operator="equal">
      <formula>0</formula>
    </cfRule>
    <cfRule type="expression" dxfId="11509" priority="820">
      <formula>$C32&gt;$E$3</formula>
    </cfRule>
  </conditionalFormatting>
  <conditionalFormatting sqref="K32:K36">
    <cfRule type="expression" dxfId="11508" priority="806">
      <formula>$E32=""</formula>
    </cfRule>
  </conditionalFormatting>
  <conditionalFormatting sqref="K32:K36">
    <cfRule type="expression" dxfId="11507" priority="805">
      <formula>$C32&lt;$E$3</formula>
    </cfRule>
  </conditionalFormatting>
  <conditionalFormatting sqref="K32:K36">
    <cfRule type="expression" dxfId="11506" priority="804">
      <formula>$E32=""</formula>
    </cfRule>
  </conditionalFormatting>
  <conditionalFormatting sqref="K32:K36">
    <cfRule type="expression" dxfId="11505" priority="803">
      <formula>$E32=""</formula>
    </cfRule>
  </conditionalFormatting>
  <conditionalFormatting sqref="K32:K36">
    <cfRule type="expression" dxfId="11504" priority="802">
      <formula>$C32&lt;$E$3</formula>
    </cfRule>
  </conditionalFormatting>
  <conditionalFormatting sqref="K32:K36">
    <cfRule type="expression" dxfId="11503" priority="801">
      <formula>$E32=""</formula>
    </cfRule>
  </conditionalFormatting>
  <conditionalFormatting sqref="K32:K36">
    <cfRule type="expression" dxfId="11502" priority="800">
      <formula>$C32&lt;$E$3</formula>
    </cfRule>
  </conditionalFormatting>
  <conditionalFormatting sqref="K32:K36">
    <cfRule type="expression" dxfId="11501" priority="799">
      <formula>$E32=""</formula>
    </cfRule>
  </conditionalFormatting>
  <conditionalFormatting sqref="K32:K36">
    <cfRule type="expression" dxfId="11500" priority="798">
      <formula>$C32&lt;$E$3</formula>
    </cfRule>
  </conditionalFormatting>
  <conditionalFormatting sqref="K32:K36">
    <cfRule type="expression" dxfId="11499" priority="797">
      <formula>$E32=""</formula>
    </cfRule>
  </conditionalFormatting>
  <conditionalFormatting sqref="K32:K36">
    <cfRule type="expression" dxfId="11498" priority="796">
      <formula>$C32&lt;$E$3</formula>
    </cfRule>
  </conditionalFormatting>
  <conditionalFormatting sqref="K32:K36">
    <cfRule type="expression" dxfId="11497" priority="792">
      <formula>$C32=$E$3</formula>
    </cfRule>
    <cfRule type="expression" dxfId="11496" priority="793">
      <formula>$C32&lt;$E$3</formula>
    </cfRule>
    <cfRule type="cellIs" dxfId="11495" priority="794" operator="equal">
      <formula>0</formula>
    </cfRule>
    <cfRule type="expression" dxfId="11494" priority="795">
      <formula>$C32&gt;$E$3</formula>
    </cfRule>
  </conditionalFormatting>
  <conditionalFormatting sqref="K32:K36">
    <cfRule type="expression" dxfId="11493" priority="791">
      <formula>$C32&lt;$E$3</formula>
    </cfRule>
  </conditionalFormatting>
  <conditionalFormatting sqref="K32:K36">
    <cfRule type="expression" dxfId="11492" priority="787">
      <formula>$C32=$E$3</formula>
    </cfRule>
    <cfRule type="expression" dxfId="11491" priority="788">
      <formula>$C32&lt;$E$3</formula>
    </cfRule>
    <cfRule type="cellIs" dxfId="11490" priority="789" operator="equal">
      <formula>0</formula>
    </cfRule>
    <cfRule type="expression" dxfId="11489" priority="790">
      <formula>$C32&gt;$E$3</formula>
    </cfRule>
  </conditionalFormatting>
  <conditionalFormatting sqref="K32:K36">
    <cfRule type="expression" dxfId="11488" priority="786">
      <formula>$C32&lt;$E$3</formula>
    </cfRule>
  </conditionalFormatting>
  <conditionalFormatting sqref="K32:K36">
    <cfRule type="expression" dxfId="11487" priority="782">
      <formula>$C32=$E$3</formula>
    </cfRule>
    <cfRule type="expression" dxfId="11486" priority="783">
      <formula>$C32&lt;$E$3</formula>
    </cfRule>
    <cfRule type="cellIs" dxfId="11485" priority="784" operator="equal">
      <formula>0</formula>
    </cfRule>
    <cfRule type="expression" dxfId="11484" priority="785">
      <formula>$C32&gt;$E$3</formula>
    </cfRule>
  </conditionalFormatting>
  <conditionalFormatting sqref="K32:K36">
    <cfRule type="expression" dxfId="11483" priority="781">
      <formula>$C32&lt;$E$3</formula>
    </cfRule>
  </conditionalFormatting>
  <conditionalFormatting sqref="K32:K36">
    <cfRule type="expression" dxfId="11482" priority="777">
      <formula>$C32=$E$3</formula>
    </cfRule>
    <cfRule type="expression" dxfId="11481" priority="778">
      <formula>$C32&lt;$E$3</formula>
    </cfRule>
    <cfRule type="cellIs" dxfId="11480" priority="779" operator="equal">
      <formula>0</formula>
    </cfRule>
    <cfRule type="expression" dxfId="11479" priority="780">
      <formula>$C32&gt;$E$3</formula>
    </cfRule>
  </conditionalFormatting>
  <conditionalFormatting sqref="K32:K36">
    <cfRule type="expression" dxfId="11478" priority="776">
      <formula>$E32=""</formula>
    </cfRule>
  </conditionalFormatting>
  <conditionalFormatting sqref="K32:K36">
    <cfRule type="expression" dxfId="11477" priority="775">
      <formula>$C32&lt;$E$3</formula>
    </cfRule>
  </conditionalFormatting>
  <conditionalFormatting sqref="K32:K36">
    <cfRule type="expression" dxfId="11476" priority="774">
      <formula>$E32=""</formula>
    </cfRule>
  </conditionalFormatting>
  <conditionalFormatting sqref="K32:K36">
    <cfRule type="expression" dxfId="11475" priority="773">
      <formula>$E32=""</formula>
    </cfRule>
  </conditionalFormatting>
  <conditionalFormatting sqref="K32:K36">
    <cfRule type="expression" dxfId="11474" priority="772">
      <formula>$C32&lt;$E$3</formula>
    </cfRule>
  </conditionalFormatting>
  <conditionalFormatting sqref="K32:K36">
    <cfRule type="expression" dxfId="11473" priority="771">
      <formula>$E32=""</formula>
    </cfRule>
  </conditionalFormatting>
  <conditionalFormatting sqref="K32:K36">
    <cfRule type="expression" dxfId="11472" priority="770">
      <formula>$C32&lt;$E$3</formula>
    </cfRule>
  </conditionalFormatting>
  <conditionalFormatting sqref="K32:K36">
    <cfRule type="expression" dxfId="11471" priority="769">
      <formula>$E32=""</formula>
    </cfRule>
  </conditionalFormatting>
  <conditionalFormatting sqref="K32:K36">
    <cfRule type="expression" dxfId="11470" priority="768">
      <formula>$C32&lt;$E$3</formula>
    </cfRule>
  </conditionalFormatting>
  <conditionalFormatting sqref="K32:K36">
    <cfRule type="expression" dxfId="11469" priority="767">
      <formula>$E32=""</formula>
    </cfRule>
  </conditionalFormatting>
  <conditionalFormatting sqref="K32:K38">
    <cfRule type="expression" dxfId="11468" priority="765">
      <formula>$C32&lt;$E$3</formula>
    </cfRule>
  </conditionalFormatting>
  <conditionalFormatting sqref="K32:K38">
    <cfRule type="expression" dxfId="11467" priority="762">
      <formula>$C32=$E$3</formula>
    </cfRule>
    <cfRule type="expression" dxfId="11466" priority="763">
      <formula>$C32&lt;$E$3</formula>
    </cfRule>
    <cfRule type="cellIs" dxfId="11465" priority="764" operator="equal">
      <formula>0</formula>
    </cfRule>
    <cfRule type="expression" dxfId="11464" priority="766">
      <formula>$C32&gt;$E$3</formula>
    </cfRule>
  </conditionalFormatting>
  <conditionalFormatting sqref="K32:K38">
    <cfRule type="expression" dxfId="11463" priority="761">
      <formula>$E32=""</formula>
    </cfRule>
  </conditionalFormatting>
  <conditionalFormatting sqref="K32:K38">
    <cfRule type="expression" dxfId="11462" priority="760">
      <formula>$E32=""</formula>
    </cfRule>
  </conditionalFormatting>
  <conditionalFormatting sqref="K32:K38">
    <cfRule type="expression" dxfId="11461" priority="759">
      <formula>$E32=""</formula>
    </cfRule>
  </conditionalFormatting>
  <conditionalFormatting sqref="K41:K47">
    <cfRule type="cellIs" dxfId="11460" priority="758" stopIfTrue="1" operator="lessThan">
      <formula>0</formula>
    </cfRule>
  </conditionalFormatting>
  <conditionalFormatting sqref="K41:K47">
    <cfRule type="expression" dxfId="11459" priority="756">
      <formula>$C41&lt;$E$3</formula>
    </cfRule>
  </conditionalFormatting>
  <conditionalFormatting sqref="K41:K47">
    <cfRule type="expression" dxfId="11458" priority="753">
      <formula>$C41=$E$3</formula>
    </cfRule>
    <cfRule type="expression" dxfId="11457" priority="754">
      <formula>$C41&lt;$E$3</formula>
    </cfRule>
    <cfRule type="cellIs" dxfId="11456" priority="755" operator="equal">
      <formula>0</formula>
    </cfRule>
    <cfRule type="expression" dxfId="11455" priority="757">
      <formula>$C41&gt;$E$3</formula>
    </cfRule>
  </conditionalFormatting>
  <conditionalFormatting sqref="K41:K47">
    <cfRule type="expression" dxfId="11454" priority="752">
      <formula>$E41=""</formula>
    </cfRule>
  </conditionalFormatting>
  <conditionalFormatting sqref="K41:K47">
    <cfRule type="expression" dxfId="11453" priority="751">
      <formula>$E41=""</formula>
    </cfRule>
  </conditionalFormatting>
  <conditionalFormatting sqref="K41:K47">
    <cfRule type="expression" dxfId="11452" priority="750">
      <formula>$E41=""</formula>
    </cfRule>
  </conditionalFormatting>
  <conditionalFormatting sqref="K46">
    <cfRule type="expression" dxfId="11451" priority="749">
      <formula>$C46&lt;$E$3</formula>
    </cfRule>
  </conditionalFormatting>
  <conditionalFormatting sqref="K46">
    <cfRule type="expression" dxfId="11450" priority="745">
      <formula>$C46=$E$3</formula>
    </cfRule>
    <cfRule type="expression" dxfId="11449" priority="746">
      <formula>$C46&lt;$E$3</formula>
    </cfRule>
    <cfRule type="cellIs" dxfId="11448" priority="747" operator="equal">
      <formula>0</formula>
    </cfRule>
    <cfRule type="expression" dxfId="11447" priority="748">
      <formula>$C46&gt;$E$3</formula>
    </cfRule>
  </conditionalFormatting>
  <conditionalFormatting sqref="K46">
    <cfRule type="expression" dxfId="11446" priority="744">
      <formula>$C46&lt;$E$3</formula>
    </cfRule>
  </conditionalFormatting>
  <conditionalFormatting sqref="K46">
    <cfRule type="expression" dxfId="11445" priority="740">
      <formula>$C46=$E$3</formula>
    </cfRule>
    <cfRule type="expression" dxfId="11444" priority="741">
      <formula>$C46&lt;$E$3</formula>
    </cfRule>
    <cfRule type="cellIs" dxfId="11443" priority="742" operator="equal">
      <formula>0</formula>
    </cfRule>
    <cfRule type="expression" dxfId="11442" priority="743">
      <formula>$C46&gt;$E$3</formula>
    </cfRule>
  </conditionalFormatting>
  <conditionalFormatting sqref="K46">
    <cfRule type="expression" dxfId="11441" priority="739">
      <formula>$C46&lt;$E$3</formula>
    </cfRule>
  </conditionalFormatting>
  <conditionalFormatting sqref="K46">
    <cfRule type="expression" dxfId="11440" priority="735">
      <formula>$C46=$E$3</formula>
    </cfRule>
    <cfRule type="expression" dxfId="11439" priority="736">
      <formula>$C46&lt;$E$3</formula>
    </cfRule>
    <cfRule type="cellIs" dxfId="11438" priority="737" operator="equal">
      <formula>0</formula>
    </cfRule>
    <cfRule type="expression" dxfId="11437" priority="738">
      <formula>$C46&gt;$E$3</formula>
    </cfRule>
  </conditionalFormatting>
  <conditionalFormatting sqref="K46">
    <cfRule type="expression" dxfId="11436" priority="734">
      <formula>$C46&lt;$E$3</formula>
    </cfRule>
  </conditionalFormatting>
  <conditionalFormatting sqref="K46">
    <cfRule type="expression" dxfId="11435" priority="730">
      <formula>$C46=$E$3</formula>
    </cfRule>
    <cfRule type="expression" dxfId="11434" priority="731">
      <formula>$C46&lt;$E$3</formula>
    </cfRule>
    <cfRule type="cellIs" dxfId="11433" priority="732" operator="equal">
      <formula>0</formula>
    </cfRule>
    <cfRule type="expression" dxfId="11432" priority="733">
      <formula>$C46&gt;$E$3</formula>
    </cfRule>
  </conditionalFormatting>
  <conditionalFormatting sqref="K46">
    <cfRule type="expression" dxfId="11431" priority="729">
      <formula>$E46=""</formula>
    </cfRule>
  </conditionalFormatting>
  <conditionalFormatting sqref="K46">
    <cfRule type="expression" dxfId="11430" priority="728">
      <formula>$C46&lt;$E$3</formula>
    </cfRule>
  </conditionalFormatting>
  <conditionalFormatting sqref="K46">
    <cfRule type="expression" dxfId="11429" priority="727">
      <formula>$E46=""</formula>
    </cfRule>
  </conditionalFormatting>
  <conditionalFormatting sqref="K46">
    <cfRule type="expression" dxfId="11428" priority="726">
      <formula>$E46=""</formula>
    </cfRule>
  </conditionalFormatting>
  <conditionalFormatting sqref="K46">
    <cfRule type="expression" dxfId="11427" priority="725">
      <formula>$C46&lt;$E$3</formula>
    </cfRule>
  </conditionalFormatting>
  <conditionalFormatting sqref="K46">
    <cfRule type="expression" dxfId="11426" priority="724">
      <formula>$E46=""</formula>
    </cfRule>
  </conditionalFormatting>
  <conditionalFormatting sqref="K46">
    <cfRule type="expression" dxfId="11425" priority="723">
      <formula>$C46&lt;$E$3</formula>
    </cfRule>
  </conditionalFormatting>
  <conditionalFormatting sqref="K46">
    <cfRule type="expression" dxfId="11424" priority="722">
      <formula>$E46=""</formula>
    </cfRule>
  </conditionalFormatting>
  <conditionalFormatting sqref="K46">
    <cfRule type="expression" dxfId="11423" priority="721">
      <formula>$C46&lt;$E$3</formula>
    </cfRule>
  </conditionalFormatting>
  <conditionalFormatting sqref="K46">
    <cfRule type="expression" dxfId="11422" priority="720">
      <formula>$E46=""</formula>
    </cfRule>
  </conditionalFormatting>
  <conditionalFormatting sqref="K46">
    <cfRule type="expression" dxfId="11421" priority="719">
      <formula>$C46&lt;$E$3</formula>
    </cfRule>
  </conditionalFormatting>
  <conditionalFormatting sqref="K46">
    <cfRule type="expression" dxfId="11420" priority="715">
      <formula>$C46=$E$3</formula>
    </cfRule>
    <cfRule type="expression" dxfId="11419" priority="716">
      <formula>$C46&lt;$E$3</formula>
    </cfRule>
    <cfRule type="cellIs" dxfId="11418" priority="717" operator="equal">
      <formula>0</formula>
    </cfRule>
    <cfRule type="expression" dxfId="11417" priority="718">
      <formula>$C46&gt;$E$3</formula>
    </cfRule>
  </conditionalFormatting>
  <conditionalFormatting sqref="K46">
    <cfRule type="expression" dxfId="11416" priority="714">
      <formula>$C46&lt;$E$3</formula>
    </cfRule>
  </conditionalFormatting>
  <conditionalFormatting sqref="K46">
    <cfRule type="expression" dxfId="11415" priority="710">
      <formula>$C46=$E$3</formula>
    </cfRule>
    <cfRule type="expression" dxfId="11414" priority="711">
      <formula>$C46&lt;$E$3</formula>
    </cfRule>
    <cfRule type="cellIs" dxfId="11413" priority="712" operator="equal">
      <formula>0</formula>
    </cfRule>
    <cfRule type="expression" dxfId="11412" priority="713">
      <formula>$C46&gt;$E$3</formula>
    </cfRule>
  </conditionalFormatting>
  <conditionalFormatting sqref="K46">
    <cfRule type="expression" dxfId="11411" priority="709">
      <formula>$C46&lt;$E$3</formula>
    </cfRule>
  </conditionalFormatting>
  <conditionalFormatting sqref="K46">
    <cfRule type="expression" dxfId="11410" priority="705">
      <formula>$C46=$E$3</formula>
    </cfRule>
    <cfRule type="expression" dxfId="11409" priority="706">
      <formula>$C46&lt;$E$3</formula>
    </cfRule>
    <cfRule type="cellIs" dxfId="11408" priority="707" operator="equal">
      <formula>0</formula>
    </cfRule>
    <cfRule type="expression" dxfId="11407" priority="708">
      <formula>$C46&gt;$E$3</formula>
    </cfRule>
  </conditionalFormatting>
  <conditionalFormatting sqref="K46">
    <cfRule type="expression" dxfId="11406" priority="704">
      <formula>$C46&lt;$E$3</formula>
    </cfRule>
  </conditionalFormatting>
  <conditionalFormatting sqref="K46">
    <cfRule type="expression" dxfId="11405" priority="700">
      <formula>$C46=$E$3</formula>
    </cfRule>
    <cfRule type="expression" dxfId="11404" priority="701">
      <formula>$C46&lt;$E$3</formula>
    </cfRule>
    <cfRule type="cellIs" dxfId="11403" priority="702" operator="equal">
      <formula>0</formula>
    </cfRule>
    <cfRule type="expression" dxfId="11402" priority="703">
      <formula>$C46&gt;$E$3</formula>
    </cfRule>
  </conditionalFormatting>
  <conditionalFormatting sqref="K46">
    <cfRule type="expression" dxfId="11401" priority="699">
      <formula>$E46=""</formula>
    </cfRule>
  </conditionalFormatting>
  <conditionalFormatting sqref="K46">
    <cfRule type="expression" dxfId="11400" priority="698">
      <formula>$C46&lt;$E$3</formula>
    </cfRule>
  </conditionalFormatting>
  <conditionalFormatting sqref="K46">
    <cfRule type="expression" dxfId="11399" priority="697">
      <formula>$E46=""</formula>
    </cfRule>
  </conditionalFormatting>
  <conditionalFormatting sqref="K46">
    <cfRule type="expression" dxfId="11398" priority="696">
      <formula>$E46=""</formula>
    </cfRule>
  </conditionalFormatting>
  <conditionalFormatting sqref="K46">
    <cfRule type="expression" dxfId="11397" priority="695">
      <formula>$C46&lt;$E$3</formula>
    </cfRule>
  </conditionalFormatting>
  <conditionalFormatting sqref="K46">
    <cfRule type="expression" dxfId="11396" priority="694">
      <formula>$E46=""</formula>
    </cfRule>
  </conditionalFormatting>
  <conditionalFormatting sqref="K46">
    <cfRule type="expression" dxfId="11395" priority="693">
      <formula>$C46&lt;$E$3</formula>
    </cfRule>
  </conditionalFormatting>
  <conditionalFormatting sqref="K46">
    <cfRule type="expression" dxfId="11394" priority="692">
      <formula>$E46=""</formula>
    </cfRule>
  </conditionalFormatting>
  <conditionalFormatting sqref="K46">
    <cfRule type="expression" dxfId="11393" priority="691">
      <formula>$C46&lt;$E$3</formula>
    </cfRule>
  </conditionalFormatting>
  <conditionalFormatting sqref="K46">
    <cfRule type="expression" dxfId="11392" priority="690">
      <formula>$E46=""</formula>
    </cfRule>
  </conditionalFormatting>
  <conditionalFormatting sqref="K41:K45">
    <cfRule type="expression" dxfId="11391" priority="689">
      <formula>$C41&lt;$E$3</formula>
    </cfRule>
  </conditionalFormatting>
  <conditionalFormatting sqref="K41:K45">
    <cfRule type="expression" dxfId="11390" priority="685">
      <formula>$C41=$E$3</formula>
    </cfRule>
    <cfRule type="expression" dxfId="11389" priority="686">
      <formula>$C41&lt;$E$3</formula>
    </cfRule>
    <cfRule type="cellIs" dxfId="11388" priority="687" operator="equal">
      <formula>0</formula>
    </cfRule>
    <cfRule type="expression" dxfId="11387" priority="688">
      <formula>$C41&gt;$E$3</formula>
    </cfRule>
  </conditionalFormatting>
  <conditionalFormatting sqref="K41:K45">
    <cfRule type="expression" dxfId="11386" priority="684">
      <formula>$C41&lt;$E$3</formula>
    </cfRule>
  </conditionalFormatting>
  <conditionalFormatting sqref="K41:K45">
    <cfRule type="expression" dxfId="11385" priority="680">
      <formula>$C41=$E$3</formula>
    </cfRule>
    <cfRule type="expression" dxfId="11384" priority="681">
      <formula>$C41&lt;$E$3</formula>
    </cfRule>
    <cfRule type="cellIs" dxfId="11383" priority="682" operator="equal">
      <formula>0</formula>
    </cfRule>
    <cfRule type="expression" dxfId="11382" priority="683">
      <formula>$C41&gt;$E$3</formula>
    </cfRule>
  </conditionalFormatting>
  <conditionalFormatting sqref="K41:K45">
    <cfRule type="expression" dxfId="11381" priority="679">
      <formula>$C41&lt;$E$3</formula>
    </cfRule>
  </conditionalFormatting>
  <conditionalFormatting sqref="K41:K45">
    <cfRule type="expression" dxfId="11380" priority="675">
      <formula>$C41=$E$3</formula>
    </cfRule>
    <cfRule type="expression" dxfId="11379" priority="676">
      <formula>$C41&lt;$E$3</formula>
    </cfRule>
    <cfRule type="cellIs" dxfId="11378" priority="677" operator="equal">
      <formula>0</formula>
    </cfRule>
    <cfRule type="expression" dxfId="11377" priority="678">
      <formula>$C41&gt;$E$3</formula>
    </cfRule>
  </conditionalFormatting>
  <conditionalFormatting sqref="K41:K45">
    <cfRule type="expression" dxfId="11376" priority="674">
      <formula>$C41&lt;$E$3</formula>
    </cfRule>
  </conditionalFormatting>
  <conditionalFormatting sqref="K41:K45">
    <cfRule type="expression" dxfId="11375" priority="670">
      <formula>$C41=$E$3</formula>
    </cfRule>
    <cfRule type="expression" dxfId="11374" priority="671">
      <formula>$C41&lt;$E$3</formula>
    </cfRule>
    <cfRule type="cellIs" dxfId="11373" priority="672" operator="equal">
      <formula>0</formula>
    </cfRule>
    <cfRule type="expression" dxfId="11372" priority="673">
      <formula>$C41&gt;$E$3</formula>
    </cfRule>
  </conditionalFormatting>
  <conditionalFormatting sqref="K41:K45">
    <cfRule type="expression" dxfId="11371" priority="669">
      <formula>$E41=""</formula>
    </cfRule>
  </conditionalFormatting>
  <conditionalFormatting sqref="K41:K45">
    <cfRule type="expression" dxfId="11370" priority="668">
      <formula>$C41&lt;$E$3</formula>
    </cfRule>
  </conditionalFormatting>
  <conditionalFormatting sqref="K41:K45">
    <cfRule type="expression" dxfId="11369" priority="667">
      <formula>$E41=""</formula>
    </cfRule>
  </conditionalFormatting>
  <conditionalFormatting sqref="K41:K45">
    <cfRule type="expression" dxfId="11368" priority="666">
      <formula>$E41=""</formula>
    </cfRule>
  </conditionalFormatting>
  <conditionalFormatting sqref="K41:K45">
    <cfRule type="expression" dxfId="11367" priority="665">
      <formula>$C41&lt;$E$3</formula>
    </cfRule>
  </conditionalFormatting>
  <conditionalFormatting sqref="K41:K45">
    <cfRule type="expression" dxfId="11366" priority="664">
      <formula>$E41=""</formula>
    </cfRule>
  </conditionalFormatting>
  <conditionalFormatting sqref="K41:K45">
    <cfRule type="expression" dxfId="11365" priority="663">
      <formula>$C41&lt;$E$3</formula>
    </cfRule>
  </conditionalFormatting>
  <conditionalFormatting sqref="K41:K45">
    <cfRule type="expression" dxfId="11364" priority="662">
      <formula>$E41=""</formula>
    </cfRule>
  </conditionalFormatting>
  <conditionalFormatting sqref="K41:K45">
    <cfRule type="expression" dxfId="11363" priority="661">
      <formula>$C41&lt;$E$3</formula>
    </cfRule>
  </conditionalFormatting>
  <conditionalFormatting sqref="K41:K45">
    <cfRule type="expression" dxfId="11362" priority="660">
      <formula>$E41=""</formula>
    </cfRule>
  </conditionalFormatting>
  <conditionalFormatting sqref="K41:K45">
    <cfRule type="expression" dxfId="11361" priority="659">
      <formula>$C41&lt;$E$3</formula>
    </cfRule>
  </conditionalFormatting>
  <conditionalFormatting sqref="K41:K45">
    <cfRule type="expression" dxfId="11360" priority="655">
      <formula>$C41=$E$3</formula>
    </cfRule>
    <cfRule type="expression" dxfId="11359" priority="656">
      <formula>$C41&lt;$E$3</formula>
    </cfRule>
    <cfRule type="cellIs" dxfId="11358" priority="657" operator="equal">
      <formula>0</formula>
    </cfRule>
    <cfRule type="expression" dxfId="11357" priority="658">
      <formula>$C41&gt;$E$3</formula>
    </cfRule>
  </conditionalFormatting>
  <conditionalFormatting sqref="K41:K45">
    <cfRule type="expression" dxfId="11356" priority="654">
      <formula>$C41&lt;$E$3</formula>
    </cfRule>
  </conditionalFormatting>
  <conditionalFormatting sqref="K41:K45">
    <cfRule type="expression" dxfId="11355" priority="650">
      <formula>$C41=$E$3</formula>
    </cfRule>
    <cfRule type="expression" dxfId="11354" priority="651">
      <formula>$C41&lt;$E$3</formula>
    </cfRule>
    <cfRule type="cellIs" dxfId="11353" priority="652" operator="equal">
      <formula>0</formula>
    </cfRule>
    <cfRule type="expression" dxfId="11352" priority="653">
      <formula>$C41&gt;$E$3</formula>
    </cfRule>
  </conditionalFormatting>
  <conditionalFormatting sqref="K41:K45">
    <cfRule type="expression" dxfId="11351" priority="649">
      <formula>$C41&lt;$E$3</formula>
    </cfRule>
  </conditionalFormatting>
  <conditionalFormatting sqref="K41:K45">
    <cfRule type="expression" dxfId="11350" priority="645">
      <formula>$C41=$E$3</formula>
    </cfRule>
    <cfRule type="expression" dxfId="11349" priority="646">
      <formula>$C41&lt;$E$3</formula>
    </cfRule>
    <cfRule type="cellIs" dxfId="11348" priority="647" operator="equal">
      <formula>0</formula>
    </cfRule>
    <cfRule type="expression" dxfId="11347" priority="648">
      <formula>$C41&gt;$E$3</formula>
    </cfRule>
  </conditionalFormatting>
  <conditionalFormatting sqref="K41:K45">
    <cfRule type="expression" dxfId="11346" priority="644">
      <formula>$C41&lt;$E$3</formula>
    </cfRule>
  </conditionalFormatting>
  <conditionalFormatting sqref="K41:K45">
    <cfRule type="expression" dxfId="11345" priority="640">
      <formula>$C41=$E$3</formula>
    </cfRule>
    <cfRule type="expression" dxfId="11344" priority="641">
      <formula>$C41&lt;$E$3</formula>
    </cfRule>
    <cfRule type="cellIs" dxfId="11343" priority="642" operator="equal">
      <formula>0</formula>
    </cfRule>
    <cfRule type="expression" dxfId="11342" priority="643">
      <formula>$C41&gt;$E$3</formula>
    </cfRule>
  </conditionalFormatting>
  <conditionalFormatting sqref="K41:K45">
    <cfRule type="expression" dxfId="11341" priority="639">
      <formula>$E41=""</formula>
    </cfRule>
  </conditionalFormatting>
  <conditionalFormatting sqref="K41:K45">
    <cfRule type="expression" dxfId="11340" priority="638">
      <formula>$C41&lt;$E$3</formula>
    </cfRule>
  </conditionalFormatting>
  <conditionalFormatting sqref="K41:K45">
    <cfRule type="expression" dxfId="11339" priority="637">
      <formula>$E41=""</formula>
    </cfRule>
  </conditionalFormatting>
  <conditionalFormatting sqref="K41:K45">
    <cfRule type="expression" dxfId="11338" priority="636">
      <formula>$E41=""</formula>
    </cfRule>
  </conditionalFormatting>
  <conditionalFormatting sqref="K41:K45">
    <cfRule type="expression" dxfId="11337" priority="635">
      <formula>$C41&lt;$E$3</formula>
    </cfRule>
  </conditionalFormatting>
  <conditionalFormatting sqref="K41:K45">
    <cfRule type="expression" dxfId="11336" priority="634">
      <formula>$E41=""</formula>
    </cfRule>
  </conditionalFormatting>
  <conditionalFormatting sqref="K41:K45">
    <cfRule type="expression" dxfId="11335" priority="633">
      <formula>$C41&lt;$E$3</formula>
    </cfRule>
  </conditionalFormatting>
  <conditionalFormatting sqref="K41:K45">
    <cfRule type="expression" dxfId="11334" priority="632">
      <formula>$E41=""</formula>
    </cfRule>
  </conditionalFormatting>
  <conditionalFormatting sqref="K41:K45">
    <cfRule type="expression" dxfId="11333" priority="631">
      <formula>$C41&lt;$E$3</formula>
    </cfRule>
  </conditionalFormatting>
  <conditionalFormatting sqref="K41:K45">
    <cfRule type="expression" dxfId="11332" priority="630">
      <formula>$E41=""</formula>
    </cfRule>
  </conditionalFormatting>
  <conditionalFormatting sqref="K41:K47">
    <cfRule type="expression" dxfId="11331" priority="628">
      <formula>$C41&lt;$E$3</formula>
    </cfRule>
  </conditionalFormatting>
  <conditionalFormatting sqref="K41:K47">
    <cfRule type="expression" dxfId="11330" priority="625">
      <formula>$C41=$E$3</formula>
    </cfRule>
    <cfRule type="expression" dxfId="11329" priority="626">
      <formula>$C41&lt;$E$3</formula>
    </cfRule>
    <cfRule type="cellIs" dxfId="11328" priority="627" operator="equal">
      <formula>0</formula>
    </cfRule>
    <cfRule type="expression" dxfId="11327" priority="629">
      <formula>$C41&gt;$E$3</formula>
    </cfRule>
  </conditionalFormatting>
  <conditionalFormatting sqref="K41:K47">
    <cfRule type="expression" dxfId="11326" priority="624">
      <formula>$E41=""</formula>
    </cfRule>
  </conditionalFormatting>
  <conditionalFormatting sqref="K41:K47">
    <cfRule type="expression" dxfId="11325" priority="623">
      <formula>$E41=""</formula>
    </cfRule>
  </conditionalFormatting>
  <conditionalFormatting sqref="K41:K47">
    <cfRule type="expression" dxfId="11324" priority="622">
      <formula>$E41=""</formula>
    </cfRule>
  </conditionalFormatting>
  <conditionalFormatting sqref="N20 N18 N16">
    <cfRule type="cellIs" dxfId="11323" priority="621" stopIfTrue="1" operator="lessThan">
      <formula>0</formula>
    </cfRule>
  </conditionalFormatting>
  <conditionalFormatting sqref="N23 N27:N28">
    <cfRule type="cellIs" dxfId="11322" priority="620" stopIfTrue="1" operator="lessThan">
      <formula>0</formula>
    </cfRule>
  </conditionalFormatting>
  <conditionalFormatting sqref="N32:N34 N36 N38">
    <cfRule type="cellIs" dxfId="11321" priority="619" stopIfTrue="1" operator="lessThan">
      <formula>0</formula>
    </cfRule>
  </conditionalFormatting>
  <conditionalFormatting sqref="N41:N47">
    <cfRule type="cellIs" dxfId="11320" priority="618" stopIfTrue="1" operator="lessThan">
      <formula>0</formula>
    </cfRule>
  </conditionalFormatting>
  <conditionalFormatting sqref="N29">
    <cfRule type="cellIs" dxfId="11319" priority="4" stopIfTrue="1" operator="lessThan">
      <formula>0</formula>
    </cfRule>
  </conditionalFormatting>
  <conditionalFormatting sqref="N25">
    <cfRule type="cellIs" dxfId="11318" priority="3" stopIfTrue="1" operator="lessThan">
      <formula>0</formula>
    </cfRule>
  </conditionalFormatting>
  <conditionalFormatting sqref="N26">
    <cfRule type="cellIs" dxfId="11317" priority="2" stopIfTrue="1" operator="lessThan">
      <formula>0</formula>
    </cfRule>
  </conditionalFormatting>
  <conditionalFormatting sqref="N24">
    <cfRule type="cellIs" dxfId="11316" priority="1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AH67"/>
  <sheetViews>
    <sheetView zoomScaleNormal="100" workbookViewId="0">
      <selection activeCell="F35" sqref="F35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8.1640625" customWidth="1"/>
    <col min="11" max="11" width="8.1640625" hidden="1" customWidth="1"/>
    <col min="12" max="12" width="8.16406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1" width="10.33203125" bestFit="1" customWidth="1"/>
    <col min="33" max="33" width="10.6640625" bestFit="1" customWidth="1"/>
  </cols>
  <sheetData>
    <row r="1" spans="1:34" ht="53.25" customHeight="1" thickBot="1">
      <c r="A1" s="42">
        <v>5</v>
      </c>
      <c r="B1" s="40" t="s">
        <v>0</v>
      </c>
      <c r="C1" s="41"/>
      <c r="D1" s="41"/>
      <c r="E1" s="193" t="str">
        <f>VLOOKUP(A1,'MY STATS'!$B$32:$E$43,4)</f>
        <v>May.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168" t="s">
        <v>25</v>
      </c>
      <c r="P1" s="170" t="s">
        <v>26</v>
      </c>
      <c r="Q1" s="170" t="s">
        <v>26</v>
      </c>
      <c r="R1" s="181" t="s">
        <v>32</v>
      </c>
      <c r="S1" s="194" t="s">
        <v>115</v>
      </c>
      <c r="T1" s="181"/>
      <c r="U1" s="181"/>
      <c r="V1" s="181" t="s">
        <v>84</v>
      </c>
      <c r="W1" s="181" t="s">
        <v>85</v>
      </c>
      <c r="X1" s="170" t="s">
        <v>24</v>
      </c>
      <c r="Y1" s="170" t="s">
        <v>21</v>
      </c>
      <c r="Z1" s="170" t="s">
        <v>22</v>
      </c>
      <c r="AA1" s="182" t="s">
        <v>23</v>
      </c>
      <c r="AB1" s="79"/>
      <c r="AC1" s="79"/>
      <c r="AD1" s="76"/>
      <c r="AE1" s="76"/>
      <c r="AF1" s="76"/>
      <c r="AG1" s="76"/>
      <c r="AH1" s="76"/>
    </row>
    <row r="2" spans="1:34" ht="32" hidden="1" customHeight="1" thickTop="1">
      <c r="A2" s="54" t="s">
        <v>64</v>
      </c>
      <c r="B2" s="21">
        <f>VLOOKUP(A1,'MY STATS'!$B$32:$G$43,3)</f>
        <v>45413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183"/>
      <c r="P2" s="79"/>
      <c r="Q2" s="79"/>
      <c r="R2" s="184">
        <f>'MY STATS'!A16</f>
        <v>3</v>
      </c>
      <c r="S2" s="184"/>
      <c r="T2" s="184"/>
      <c r="U2" s="184"/>
      <c r="V2" s="184"/>
      <c r="W2" s="184"/>
      <c r="X2" s="79"/>
      <c r="Y2" s="79"/>
      <c r="Z2" s="95"/>
      <c r="AA2" s="95"/>
      <c r="AB2" s="79"/>
      <c r="AC2" s="79"/>
      <c r="AD2" s="76"/>
      <c r="AE2" s="76"/>
      <c r="AF2" s="76"/>
      <c r="AG2" s="76"/>
      <c r="AH2" s="76"/>
    </row>
    <row r="3" spans="1:34" ht="17" hidden="1" customHeight="1" thickBot="1">
      <c r="A3" s="75">
        <f>'MY STATS'!D44</f>
        <v>45658</v>
      </c>
      <c r="B3" s="21">
        <f>VLOOKUP(A1+1,'MY STATS'!$B$32:$G$44,3)-1</f>
        <v>45443</v>
      </c>
      <c r="C3" s="21">
        <f>VLOOKUP(A1,'MY STATS'!$B$32:$G$43,2)</f>
        <v>45411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183"/>
      <c r="P3" s="79"/>
      <c r="Q3" s="79"/>
      <c r="R3" s="184"/>
      <c r="S3" s="184"/>
      <c r="T3" s="184"/>
      <c r="U3" s="184"/>
      <c r="V3" s="184"/>
      <c r="W3" s="184"/>
      <c r="X3" s="79"/>
      <c r="Y3" s="79"/>
      <c r="Z3" s="95"/>
      <c r="AA3" s="95"/>
      <c r="AB3" s="79"/>
      <c r="AC3" s="79"/>
      <c r="AD3" s="76"/>
      <c r="AE3" s="76"/>
      <c r="AF3" s="76"/>
      <c r="AG3" s="76"/>
      <c r="AH3" s="76"/>
    </row>
    <row r="4" spans="1:34" ht="1" customHeight="1" thickTop="1" thickBot="1">
      <c r="A4"/>
      <c r="C4" s="28">
        <f>C3-1</f>
        <v>45410</v>
      </c>
      <c r="D4"/>
      <c r="O4" s="185"/>
      <c r="P4" s="172">
        <f t="shared" ref="P4:P11" si="0">H$56</f>
        <v>51924.65754097022</v>
      </c>
      <c r="Q4" s="128">
        <f>IF(R$2=3,P4,IF(R$2=2,P4*1.0936,IF(R$2=1,P4*0.000568181818*1.0936133,"")))</f>
        <v>51924.65754097022</v>
      </c>
      <c r="R4" s="169"/>
      <c r="S4" s="169"/>
      <c r="T4" s="169"/>
      <c r="U4" s="169"/>
      <c r="V4" s="169"/>
      <c r="W4" s="169"/>
      <c r="X4" s="172"/>
      <c r="Y4" s="172"/>
      <c r="Z4" s="171">
        <v>0</v>
      </c>
      <c r="AA4" s="95"/>
      <c r="AB4" s="79">
        <v>0</v>
      </c>
      <c r="AC4" s="79"/>
      <c r="AD4" s="76"/>
      <c r="AE4" s="76"/>
      <c r="AF4" s="76"/>
      <c r="AG4" s="76"/>
      <c r="AH4" s="76"/>
    </row>
    <row r="5" spans="1:34" ht="15.75" customHeight="1">
      <c r="A5" s="22"/>
      <c r="B5" s="19">
        <f>IF(B$2&gt;C5,0,C5)</f>
        <v>0</v>
      </c>
      <c r="C5" s="28">
        <f>C3</f>
        <v>45411</v>
      </c>
      <c r="D5" s="20">
        <f t="shared" ref="D5:D51" ca="1" si="1">TODAY()-C5</f>
        <v>-120</v>
      </c>
      <c r="E5" s="91" t="str">
        <f>IF(B5=0,"","Monday")</f>
        <v/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71" t="str">
        <f t="shared" ref="O5:O51" si="3">IF(B5=0,"",(F$3-G$3)/(A$3-B$2)+0.1)</f>
        <v/>
      </c>
      <c r="P5" s="172">
        <f t="shared" si="0"/>
        <v>51924.65754097022</v>
      </c>
      <c r="Q5" s="128">
        <f t="shared" ref="Q5:Q51" si="4">IF(R$2=3,P5,IF(R$2=2,P5*1.0936,IF(R$2=1,P5*0.000568181818*1.0936133,"")))</f>
        <v>51924.65754097022</v>
      </c>
      <c r="R5" s="128">
        <f>IF(R$2=3,H5+G5/1.0936133+F5/0.0006213712,IF(R$2=2,H5*1.0936133+G5+F5/0.0005681818,IF(R$2=1,H5*0.0005681818*1.0936133+G5*0.0005681818+F5,"")))</f>
        <v>0</v>
      </c>
      <c r="S5" s="195" t="str">
        <f>IF(R5=0,"",R5*IF(L5&gt;0,1,0))</f>
        <v/>
      </c>
      <c r="T5" s="128"/>
      <c r="U5" s="128"/>
      <c r="V5" s="129" t="str">
        <f t="shared" ref="V5:V11" si="5">IF(L5="","",IF(R5=0,"",IF(B5=0,"",IF($R$2=3,R5/L5*60/1000,IF($R$2=2,R5/L5*60/1760,IF($R$2=1,R5/L5*60,""))))))</f>
        <v/>
      </c>
      <c r="W5" s="129" t="str">
        <f t="shared" ref="W5:W11" si="6">IF(R5=0,"",IF(L5="","",V5*L5))</f>
        <v/>
      </c>
      <c r="X5" s="171">
        <f t="shared" ref="X5:Z11" si="7">F5+X4</f>
        <v>0</v>
      </c>
      <c r="Y5" s="171">
        <f t="shared" si="7"/>
        <v>0</v>
      </c>
      <c r="Z5" s="171">
        <f t="shared" si="7"/>
        <v>0</v>
      </c>
      <c r="AA5" s="186">
        <f t="shared" ref="AA5:AA51" si="8">Z5/1000+Y5/1093.6133+X5/0.621371192</f>
        <v>0</v>
      </c>
      <c r="AB5" s="187">
        <f>R5</f>
        <v>0</v>
      </c>
      <c r="AC5" s="95"/>
      <c r="AD5" s="77"/>
      <c r="AE5" s="77"/>
      <c r="AF5" s="77"/>
      <c r="AG5" s="76"/>
      <c r="AH5" s="76"/>
    </row>
    <row r="6" spans="1:34">
      <c r="A6" s="23"/>
      <c r="B6" s="4">
        <f t="shared" ref="B6:B11" si="9">IF(B$2&gt;C6,0,C6)</f>
        <v>0</v>
      </c>
      <c r="C6" s="29">
        <f>C3+1</f>
        <v>45412</v>
      </c>
      <c r="D6" s="6">
        <f t="shared" ca="1" si="1"/>
        <v>-121</v>
      </c>
      <c r="E6" s="90" t="str">
        <f>IF(B6=0,"","Tuesday")</f>
        <v/>
      </c>
      <c r="F6" s="45"/>
      <c r="G6" s="46"/>
      <c r="H6" s="46"/>
      <c r="I6" s="151"/>
      <c r="J6" s="46"/>
      <c r="K6" s="152" t="str">
        <f t="shared" ref="K6:K11" si="10">IF(R6=0,"",IF(L6="","",J6))</f>
        <v/>
      </c>
      <c r="L6" s="46"/>
      <c r="M6" s="46" t="str">
        <f t="shared" si="2"/>
        <v/>
      </c>
      <c r="N6" s="301"/>
      <c r="O6" s="171" t="str">
        <f t="shared" si="3"/>
        <v/>
      </c>
      <c r="P6" s="172">
        <f t="shared" si="0"/>
        <v>51924.65754097022</v>
      </c>
      <c r="Q6" s="128">
        <f t="shared" si="4"/>
        <v>51924.65754097022</v>
      </c>
      <c r="R6" s="128">
        <f t="shared" ref="R6:R11" si="11">IF(R$2=3,H6+G6/1.0936133+F6/0.0006213712,IF(R$2=2,H6*1.0936133+G6+F6/0.0005681818,IF(R$2=1,H6*0.0005681818*1.0936133+G6*0.0005681818+F6,"")))</f>
        <v>0</v>
      </c>
      <c r="S6" s="195" t="str">
        <f t="shared" ref="S6:S51" si="12">IF(R6=0,"",R6*IF(L6&gt;0,1,0))</f>
        <v/>
      </c>
      <c r="T6" s="128"/>
      <c r="U6" s="128"/>
      <c r="V6" s="129" t="str">
        <f t="shared" si="5"/>
        <v/>
      </c>
      <c r="W6" s="129" t="str">
        <f t="shared" si="6"/>
        <v/>
      </c>
      <c r="X6" s="171">
        <f t="shared" si="7"/>
        <v>0</v>
      </c>
      <c r="Y6" s="171">
        <f t="shared" si="7"/>
        <v>0</v>
      </c>
      <c r="Z6" s="171">
        <f t="shared" si="7"/>
        <v>0</v>
      </c>
      <c r="AA6" s="186">
        <f t="shared" si="8"/>
        <v>0</v>
      </c>
      <c r="AB6" s="173">
        <f t="shared" ref="AB6:AB51" si="13">AB5+R6</f>
        <v>0</v>
      </c>
      <c r="AC6" s="79"/>
      <c r="AD6" s="76"/>
      <c r="AE6" s="76"/>
      <c r="AF6" s="76"/>
      <c r="AG6" s="76"/>
      <c r="AH6" s="78"/>
    </row>
    <row r="7" spans="1:34">
      <c r="A7" s="23"/>
      <c r="B7" s="4">
        <f t="shared" si="9"/>
        <v>45413</v>
      </c>
      <c r="C7" s="29">
        <f>C3+2</f>
        <v>45413</v>
      </c>
      <c r="D7" s="6">
        <f t="shared" ca="1" si="1"/>
        <v>-122</v>
      </c>
      <c r="E7" s="90" t="str">
        <f>IF(B7=0,"","Wednesday")</f>
        <v>Wednesday</v>
      </c>
      <c r="F7" s="45"/>
      <c r="G7" s="46"/>
      <c r="H7" s="46"/>
      <c r="I7" s="151"/>
      <c r="J7" s="46"/>
      <c r="K7" s="152" t="str">
        <f t="shared" si="10"/>
        <v/>
      </c>
      <c r="L7" s="46"/>
      <c r="M7" s="46" t="str">
        <f t="shared" si="2"/>
        <v/>
      </c>
      <c r="N7" s="310"/>
      <c r="O7" s="171">
        <f t="shared" si="3"/>
        <v>1675.1315081940436</v>
      </c>
      <c r="P7" s="172">
        <f t="shared" si="0"/>
        <v>51924.65754097022</v>
      </c>
      <c r="Q7" s="128">
        <f t="shared" si="4"/>
        <v>51924.65754097022</v>
      </c>
      <c r="R7" s="128">
        <f t="shared" si="11"/>
        <v>0</v>
      </c>
      <c r="S7" s="195" t="str">
        <f t="shared" si="12"/>
        <v/>
      </c>
      <c r="T7" s="128"/>
      <c r="U7" s="128"/>
      <c r="V7" s="129" t="str">
        <f t="shared" si="5"/>
        <v/>
      </c>
      <c r="W7" s="129" t="str">
        <f t="shared" si="6"/>
        <v/>
      </c>
      <c r="X7" s="171">
        <f t="shared" si="7"/>
        <v>0</v>
      </c>
      <c r="Y7" s="171">
        <f t="shared" si="7"/>
        <v>0</v>
      </c>
      <c r="Z7" s="171">
        <f t="shared" si="7"/>
        <v>0</v>
      </c>
      <c r="AA7" s="186">
        <f t="shared" si="8"/>
        <v>0</v>
      </c>
      <c r="AB7" s="173">
        <f t="shared" si="13"/>
        <v>0</v>
      </c>
      <c r="AC7" s="79"/>
      <c r="AD7" s="76"/>
      <c r="AE7" s="76"/>
      <c r="AF7" s="76"/>
      <c r="AG7" s="76"/>
      <c r="AH7" s="76"/>
    </row>
    <row r="8" spans="1:34">
      <c r="A8" s="23"/>
      <c r="B8" s="4">
        <f t="shared" si="9"/>
        <v>45414</v>
      </c>
      <c r="C8" s="29">
        <f>C3+3</f>
        <v>45414</v>
      </c>
      <c r="D8" s="6">
        <f t="shared" ca="1" si="1"/>
        <v>-123</v>
      </c>
      <c r="E8" s="90" t="str">
        <f>IF(B8=0,"","Thursday")</f>
        <v>Thursday</v>
      </c>
      <c r="F8" s="45"/>
      <c r="G8" s="46"/>
      <c r="H8" s="46"/>
      <c r="I8" s="151"/>
      <c r="J8" s="46"/>
      <c r="K8" s="152" t="str">
        <f t="shared" si="10"/>
        <v/>
      </c>
      <c r="L8" s="46"/>
      <c r="M8" s="46" t="str">
        <f t="shared" si="2"/>
        <v/>
      </c>
      <c r="N8" s="310"/>
      <c r="O8" s="171">
        <f t="shared" si="3"/>
        <v>1675.1315081940436</v>
      </c>
      <c r="P8" s="172">
        <f t="shared" si="0"/>
        <v>51924.65754097022</v>
      </c>
      <c r="Q8" s="128">
        <f t="shared" si="4"/>
        <v>51924.65754097022</v>
      </c>
      <c r="R8" s="128">
        <f t="shared" si="11"/>
        <v>0</v>
      </c>
      <c r="S8" s="195" t="str">
        <f t="shared" si="12"/>
        <v/>
      </c>
      <c r="T8" s="128"/>
      <c r="U8" s="128"/>
      <c r="V8" s="129" t="str">
        <f t="shared" si="5"/>
        <v/>
      </c>
      <c r="W8" s="129" t="str">
        <f t="shared" si="6"/>
        <v/>
      </c>
      <c r="X8" s="171">
        <f t="shared" si="7"/>
        <v>0</v>
      </c>
      <c r="Y8" s="171">
        <f t="shared" si="7"/>
        <v>0</v>
      </c>
      <c r="Z8" s="171">
        <f t="shared" si="7"/>
        <v>0</v>
      </c>
      <c r="AA8" s="186">
        <f t="shared" si="8"/>
        <v>0</v>
      </c>
      <c r="AB8" s="173">
        <f t="shared" si="13"/>
        <v>0</v>
      </c>
      <c r="AC8" s="79"/>
      <c r="AD8" s="76"/>
      <c r="AE8" s="76"/>
      <c r="AF8" s="76"/>
      <c r="AG8" s="76"/>
      <c r="AH8" s="76"/>
    </row>
    <row r="9" spans="1:34">
      <c r="A9" s="23"/>
      <c r="B9" s="4">
        <f t="shared" si="9"/>
        <v>45415</v>
      </c>
      <c r="C9" s="29">
        <f>C3+4</f>
        <v>45415</v>
      </c>
      <c r="D9" s="6">
        <f t="shared" ca="1" si="1"/>
        <v>-124</v>
      </c>
      <c r="E9" s="90" t="str">
        <f>IF(B9=0,"","Friday")</f>
        <v>Friday</v>
      </c>
      <c r="F9" s="45"/>
      <c r="G9" s="46"/>
      <c r="H9" s="46"/>
      <c r="I9" s="151"/>
      <c r="J9" s="46"/>
      <c r="K9" s="152" t="str">
        <f t="shared" si="10"/>
        <v/>
      </c>
      <c r="L9" s="46"/>
      <c r="M9" s="46" t="str">
        <f t="shared" si="2"/>
        <v/>
      </c>
      <c r="N9" s="301"/>
      <c r="O9" s="171">
        <f t="shared" si="3"/>
        <v>1675.1315081940436</v>
      </c>
      <c r="P9" s="172">
        <f t="shared" si="0"/>
        <v>51924.65754097022</v>
      </c>
      <c r="Q9" s="128">
        <f t="shared" si="4"/>
        <v>51924.65754097022</v>
      </c>
      <c r="R9" s="128">
        <f t="shared" si="11"/>
        <v>0</v>
      </c>
      <c r="S9" s="195" t="str">
        <f t="shared" si="12"/>
        <v/>
      </c>
      <c r="T9" s="128"/>
      <c r="U9" s="128"/>
      <c r="V9" s="129" t="str">
        <f t="shared" si="5"/>
        <v/>
      </c>
      <c r="W9" s="129" t="str">
        <f t="shared" si="6"/>
        <v/>
      </c>
      <c r="X9" s="171">
        <f t="shared" si="7"/>
        <v>0</v>
      </c>
      <c r="Y9" s="171">
        <f t="shared" si="7"/>
        <v>0</v>
      </c>
      <c r="Z9" s="171">
        <f t="shared" si="7"/>
        <v>0</v>
      </c>
      <c r="AA9" s="186">
        <f t="shared" si="8"/>
        <v>0</v>
      </c>
      <c r="AB9" s="173">
        <f t="shared" si="13"/>
        <v>0</v>
      </c>
      <c r="AC9" s="79"/>
      <c r="AD9" s="76"/>
      <c r="AE9" s="76"/>
      <c r="AF9" s="76"/>
      <c r="AG9" s="76"/>
      <c r="AH9" s="76"/>
    </row>
    <row r="10" spans="1:34">
      <c r="A10" s="23"/>
      <c r="B10" s="4">
        <f t="shared" si="9"/>
        <v>45416</v>
      </c>
      <c r="C10" s="29">
        <f>C3+5</f>
        <v>45416</v>
      </c>
      <c r="D10" s="6">
        <f t="shared" ca="1" si="1"/>
        <v>-125</v>
      </c>
      <c r="E10" s="90" t="str">
        <f>IF(B10=0,"","Saturday")</f>
        <v>Saturday</v>
      </c>
      <c r="F10" s="45"/>
      <c r="G10" s="46"/>
      <c r="H10" s="46"/>
      <c r="I10" s="151"/>
      <c r="J10" s="46"/>
      <c r="K10" s="152" t="str">
        <f t="shared" si="10"/>
        <v/>
      </c>
      <c r="L10" s="46"/>
      <c r="M10" s="46" t="str">
        <f t="shared" si="2"/>
        <v/>
      </c>
      <c r="N10" s="310"/>
      <c r="O10" s="171">
        <f t="shared" si="3"/>
        <v>1675.1315081940436</v>
      </c>
      <c r="P10" s="172">
        <f t="shared" si="0"/>
        <v>51924.65754097022</v>
      </c>
      <c r="Q10" s="128">
        <f t="shared" si="4"/>
        <v>51924.65754097022</v>
      </c>
      <c r="R10" s="128">
        <f t="shared" si="11"/>
        <v>0</v>
      </c>
      <c r="S10" s="195" t="str">
        <f t="shared" si="12"/>
        <v/>
      </c>
      <c r="T10" s="128"/>
      <c r="U10" s="128"/>
      <c r="V10" s="129" t="str">
        <f t="shared" si="5"/>
        <v/>
      </c>
      <c r="W10" s="129" t="str">
        <f t="shared" si="6"/>
        <v/>
      </c>
      <c r="X10" s="171">
        <f t="shared" si="7"/>
        <v>0</v>
      </c>
      <c r="Y10" s="171">
        <f t="shared" si="7"/>
        <v>0</v>
      </c>
      <c r="Z10" s="171">
        <f t="shared" si="7"/>
        <v>0</v>
      </c>
      <c r="AA10" s="186">
        <f t="shared" si="8"/>
        <v>0</v>
      </c>
      <c r="AB10" s="173">
        <f t="shared" si="13"/>
        <v>0</v>
      </c>
      <c r="AC10" s="79"/>
      <c r="AD10" s="76"/>
      <c r="AE10" s="76"/>
      <c r="AF10" s="76"/>
      <c r="AG10" s="76"/>
      <c r="AH10" s="76"/>
    </row>
    <row r="11" spans="1:34" ht="15.75" customHeight="1" thickBot="1">
      <c r="A11" s="23"/>
      <c r="B11" s="43">
        <f t="shared" si="9"/>
        <v>45417</v>
      </c>
      <c r="C11" s="32">
        <f>C3+6</f>
        <v>45417</v>
      </c>
      <c r="D11" s="44">
        <f t="shared" ca="1" si="1"/>
        <v>-126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0"/>
        <v/>
      </c>
      <c r="L11" s="46"/>
      <c r="M11" s="46" t="str">
        <f t="shared" si="2"/>
        <v/>
      </c>
      <c r="N11" s="310"/>
      <c r="O11" s="171">
        <f t="shared" si="3"/>
        <v>1675.1315081940436</v>
      </c>
      <c r="P11" s="172">
        <f t="shared" si="0"/>
        <v>51924.65754097022</v>
      </c>
      <c r="Q11" s="128">
        <f t="shared" si="4"/>
        <v>51924.65754097022</v>
      </c>
      <c r="R11" s="128">
        <f t="shared" si="11"/>
        <v>0</v>
      </c>
      <c r="S11" s="195" t="str">
        <f t="shared" si="12"/>
        <v/>
      </c>
      <c r="T11" s="128"/>
      <c r="U11" s="128"/>
      <c r="V11" s="129" t="str">
        <f t="shared" si="5"/>
        <v/>
      </c>
      <c r="W11" s="129" t="str">
        <f t="shared" si="6"/>
        <v/>
      </c>
      <c r="X11" s="171">
        <f t="shared" si="7"/>
        <v>0</v>
      </c>
      <c r="Y11" s="171">
        <f t="shared" si="7"/>
        <v>0</v>
      </c>
      <c r="Z11" s="171">
        <f t="shared" si="7"/>
        <v>0</v>
      </c>
      <c r="AA11" s="186">
        <f t="shared" si="8"/>
        <v>0</v>
      </c>
      <c r="AB11" s="173">
        <f t="shared" si="13"/>
        <v>0</v>
      </c>
      <c r="AC11" s="79"/>
      <c r="AD11" s="76"/>
      <c r="AE11" s="76"/>
      <c r="AF11" s="76"/>
      <c r="AG11" s="76"/>
      <c r="AH11" s="76"/>
    </row>
    <row r="12" spans="1:34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71" t="str">
        <f t="shared" si="3"/>
        <v/>
      </c>
      <c r="P12" s="172"/>
      <c r="Q12" s="128">
        <f t="shared" si="4"/>
        <v>0</v>
      </c>
      <c r="R12" s="188"/>
      <c r="S12" s="195" t="str">
        <f t="shared" si="12"/>
        <v/>
      </c>
      <c r="T12" s="188"/>
      <c r="U12" s="188"/>
      <c r="V12" s="188"/>
      <c r="W12" s="188"/>
      <c r="X12" s="172"/>
      <c r="Y12" s="172"/>
      <c r="Z12" s="95"/>
      <c r="AA12" s="186">
        <f t="shared" si="8"/>
        <v>0</v>
      </c>
      <c r="AB12" s="173">
        <f t="shared" si="13"/>
        <v>0</v>
      </c>
      <c r="AC12" s="79"/>
      <c r="AD12" s="76"/>
      <c r="AE12" s="76"/>
      <c r="AF12" s="76"/>
      <c r="AG12" s="76"/>
      <c r="AH12" s="76"/>
    </row>
    <row r="13" spans="1:34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5.2043826355820482</v>
      </c>
      <c r="G13" s="53">
        <f>H13*1.0936113</f>
        <v>9159.7137317352444</v>
      </c>
      <c r="H13" s="103">
        <f>SUM($O5:$O11)</f>
        <v>8375.6575409702182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71" t="str">
        <f t="shared" si="3"/>
        <v/>
      </c>
      <c r="P13" s="172"/>
      <c r="Q13" s="128">
        <f t="shared" si="4"/>
        <v>0</v>
      </c>
      <c r="R13" s="189"/>
      <c r="S13" s="195" t="str">
        <f t="shared" si="12"/>
        <v/>
      </c>
      <c r="T13" s="189"/>
      <c r="U13" s="189"/>
      <c r="V13" s="189"/>
      <c r="W13" s="189"/>
      <c r="X13" s="172"/>
      <c r="Y13" s="172"/>
      <c r="Z13" s="95"/>
      <c r="AA13" s="186">
        <f t="shared" si="8"/>
        <v>0</v>
      </c>
      <c r="AB13" s="173">
        <f t="shared" si="13"/>
        <v>0</v>
      </c>
      <c r="AC13" s="79"/>
      <c r="AD13" s="76"/>
      <c r="AE13" s="76"/>
      <c r="AF13" s="76"/>
      <c r="AG13" s="76"/>
      <c r="AH13" s="76"/>
    </row>
    <row r="14" spans="1:34" ht="17" thickTop="1">
      <c r="A14" s="1"/>
      <c r="B14" s="47">
        <f t="shared" ref="B14:B20" si="14">IF(B$2&gt;C14,0,C14)</f>
        <v>45418</v>
      </c>
      <c r="C14" s="31">
        <f>C11+1</f>
        <v>45418</v>
      </c>
      <c r="D14" s="18">
        <f t="shared" ca="1" si="1"/>
        <v>-127</v>
      </c>
      <c r="E14" s="94" t="s">
        <v>1</v>
      </c>
      <c r="F14" s="45"/>
      <c r="G14" s="46"/>
      <c r="H14" s="46"/>
      <c r="I14" s="109"/>
      <c r="J14" s="101"/>
      <c r="K14" s="152" t="str">
        <f t="shared" ref="K14:K20" si="15">IF(R14=0,"",IF(L14="","",J14))</f>
        <v/>
      </c>
      <c r="L14" s="101"/>
      <c r="M14" s="46" t="str">
        <f t="shared" ref="M14:M20" si="16">IF(R14=0,"",IF(J14="","",L14))</f>
        <v/>
      </c>
      <c r="N14" s="310"/>
      <c r="O14" s="171">
        <f t="shared" si="3"/>
        <v>1675.1315081940436</v>
      </c>
      <c r="P14" s="172">
        <f t="shared" ref="P14:P20" si="17">H$56</f>
        <v>51924.65754097022</v>
      </c>
      <c r="Q14" s="128">
        <f t="shared" si="4"/>
        <v>51924.65754097022</v>
      </c>
      <c r="R14" s="128">
        <f>IF(R$2=3,H14+G14/1.0936133+F14/0.0006213712,IF(R$2=2,H14*1.0936133+G14+F14/0.0005681818,IF(R$2=1,H14*0.0005681818*1.0936133+G14*0.0005681818+F14,"")))</f>
        <v>0</v>
      </c>
      <c r="S14" s="195" t="str">
        <f t="shared" si="12"/>
        <v/>
      </c>
      <c r="T14" s="128"/>
      <c r="U14" s="128"/>
      <c r="V14" s="129" t="str">
        <f t="shared" ref="V14:V20" si="18">IF(L14="","",IF(R14=0,"",IF(B14=0,"",IF($R$2=3,R14/L14*60/1000,IF($R$2=2,R14/L14*60/1760,IF($R$2=1,R14/L14*60,""))))))</f>
        <v/>
      </c>
      <c r="W14" s="129" t="str">
        <f t="shared" ref="W14:W20" si="19">IF(R14=0,"",IF(L14="","",V14*L14))</f>
        <v/>
      </c>
      <c r="X14" s="171">
        <f>F14+X11</f>
        <v>0</v>
      </c>
      <c r="Y14" s="171">
        <f>G14+Y11</f>
        <v>0</v>
      </c>
      <c r="Z14" s="171">
        <f>H14+Z11</f>
        <v>0</v>
      </c>
      <c r="AA14" s="186">
        <f t="shared" si="8"/>
        <v>0</v>
      </c>
      <c r="AB14" s="173">
        <f t="shared" si="13"/>
        <v>0</v>
      </c>
      <c r="AC14" s="79"/>
      <c r="AD14" s="76"/>
      <c r="AE14" s="76"/>
      <c r="AF14" s="76"/>
      <c r="AG14" s="76"/>
      <c r="AH14" s="76"/>
    </row>
    <row r="15" spans="1:34">
      <c r="A15" s="1"/>
      <c r="B15" s="4">
        <f t="shared" si="14"/>
        <v>45419</v>
      </c>
      <c r="C15" s="29">
        <f t="shared" ref="C15:C20" si="20">C14+1</f>
        <v>45419</v>
      </c>
      <c r="D15" s="6">
        <f t="shared" ca="1" si="1"/>
        <v>-128</v>
      </c>
      <c r="E15" s="90" t="s">
        <v>2</v>
      </c>
      <c r="F15" s="45"/>
      <c r="G15" s="46"/>
      <c r="H15" s="46"/>
      <c r="I15" s="151"/>
      <c r="J15" s="46"/>
      <c r="K15" s="152" t="str">
        <f t="shared" si="15"/>
        <v/>
      </c>
      <c r="L15" s="46"/>
      <c r="M15" s="46" t="str">
        <f t="shared" si="16"/>
        <v/>
      </c>
      <c r="N15" s="310"/>
      <c r="O15" s="171">
        <f t="shared" si="3"/>
        <v>1675.1315081940436</v>
      </c>
      <c r="P15" s="172">
        <f t="shared" si="17"/>
        <v>51924.65754097022</v>
      </c>
      <c r="Q15" s="128">
        <f t="shared" si="4"/>
        <v>51924.65754097022</v>
      </c>
      <c r="R15" s="128">
        <f t="shared" ref="R15:R20" si="21">IF(R$2=3,H15+G15/1.0936133+F15/0.0006213712,IF(R$2=2,H15*1.0936133+G15+F15/0.0005681818,IF(R$2=1,H15*0.0005681818*1.0936133+G15*0.0005681818+F15,"")))</f>
        <v>0</v>
      </c>
      <c r="S15" s="195" t="str">
        <f t="shared" si="12"/>
        <v/>
      </c>
      <c r="T15" s="128"/>
      <c r="U15" s="128"/>
      <c r="V15" s="129" t="str">
        <f t="shared" si="18"/>
        <v/>
      </c>
      <c r="W15" s="129" t="str">
        <f t="shared" si="19"/>
        <v/>
      </c>
      <c r="X15" s="171">
        <f t="shared" ref="X15:Z20" si="22">F15+X14</f>
        <v>0</v>
      </c>
      <c r="Y15" s="171">
        <f t="shared" si="22"/>
        <v>0</v>
      </c>
      <c r="Z15" s="171">
        <f t="shared" si="22"/>
        <v>0</v>
      </c>
      <c r="AA15" s="186">
        <f t="shared" si="8"/>
        <v>0</v>
      </c>
      <c r="AB15" s="173">
        <f t="shared" si="13"/>
        <v>0</v>
      </c>
      <c r="AC15" s="79"/>
      <c r="AD15" s="76"/>
      <c r="AE15" s="76"/>
      <c r="AF15" s="76"/>
      <c r="AG15" s="76"/>
      <c r="AH15" s="76"/>
    </row>
    <row r="16" spans="1:34">
      <c r="A16" s="1"/>
      <c r="B16" s="4">
        <f t="shared" si="14"/>
        <v>45420</v>
      </c>
      <c r="C16" s="29">
        <f t="shared" si="20"/>
        <v>45420</v>
      </c>
      <c r="D16" s="6">
        <f t="shared" ca="1" si="1"/>
        <v>-129</v>
      </c>
      <c r="E16" s="90" t="s">
        <v>3</v>
      </c>
      <c r="F16" s="45"/>
      <c r="G16" s="46"/>
      <c r="H16" s="46"/>
      <c r="I16" s="151"/>
      <c r="J16" s="46"/>
      <c r="K16" s="152" t="str">
        <f t="shared" si="15"/>
        <v/>
      </c>
      <c r="L16" s="46"/>
      <c r="M16" s="46" t="str">
        <f t="shared" si="16"/>
        <v/>
      </c>
      <c r="N16" s="301"/>
      <c r="O16" s="171">
        <f t="shared" si="3"/>
        <v>1675.1315081940436</v>
      </c>
      <c r="P16" s="172">
        <f t="shared" si="17"/>
        <v>51924.65754097022</v>
      </c>
      <c r="Q16" s="128">
        <f t="shared" si="4"/>
        <v>51924.65754097022</v>
      </c>
      <c r="R16" s="128">
        <f t="shared" si="21"/>
        <v>0</v>
      </c>
      <c r="S16" s="195" t="str">
        <f t="shared" si="12"/>
        <v/>
      </c>
      <c r="T16" s="128"/>
      <c r="U16" s="128"/>
      <c r="V16" s="129" t="str">
        <f t="shared" si="18"/>
        <v/>
      </c>
      <c r="W16" s="129" t="str">
        <f t="shared" si="19"/>
        <v/>
      </c>
      <c r="X16" s="171">
        <f t="shared" si="22"/>
        <v>0</v>
      </c>
      <c r="Y16" s="171">
        <f t="shared" si="22"/>
        <v>0</v>
      </c>
      <c r="Z16" s="171">
        <f t="shared" si="22"/>
        <v>0</v>
      </c>
      <c r="AA16" s="186">
        <f t="shared" si="8"/>
        <v>0</v>
      </c>
      <c r="AB16" s="173">
        <f t="shared" si="13"/>
        <v>0</v>
      </c>
      <c r="AC16" s="79"/>
      <c r="AD16" s="76"/>
      <c r="AE16" s="76"/>
      <c r="AF16" s="76"/>
      <c r="AG16" s="76"/>
      <c r="AH16" s="76"/>
    </row>
    <row r="17" spans="1:34">
      <c r="A17" s="1"/>
      <c r="B17" s="4">
        <f t="shared" si="14"/>
        <v>45421</v>
      </c>
      <c r="C17" s="29">
        <f t="shared" si="20"/>
        <v>45421</v>
      </c>
      <c r="D17" s="6">
        <f t="shared" ca="1" si="1"/>
        <v>-130</v>
      </c>
      <c r="E17" s="90" t="s">
        <v>4</v>
      </c>
      <c r="F17" s="45"/>
      <c r="G17" s="46"/>
      <c r="H17" s="46"/>
      <c r="I17" s="151"/>
      <c r="J17" s="46"/>
      <c r="K17" s="152" t="str">
        <f t="shared" si="15"/>
        <v/>
      </c>
      <c r="L17" s="46"/>
      <c r="M17" s="46" t="str">
        <f t="shared" si="16"/>
        <v/>
      </c>
      <c r="N17" s="310"/>
      <c r="O17" s="171">
        <f t="shared" si="3"/>
        <v>1675.1315081940436</v>
      </c>
      <c r="P17" s="172">
        <f t="shared" si="17"/>
        <v>51924.65754097022</v>
      </c>
      <c r="Q17" s="128">
        <f t="shared" si="4"/>
        <v>51924.65754097022</v>
      </c>
      <c r="R17" s="128">
        <f t="shared" si="21"/>
        <v>0</v>
      </c>
      <c r="S17" s="195" t="str">
        <f t="shared" si="12"/>
        <v/>
      </c>
      <c r="T17" s="128"/>
      <c r="U17" s="128"/>
      <c r="V17" s="129" t="str">
        <f t="shared" si="18"/>
        <v/>
      </c>
      <c r="W17" s="129" t="str">
        <f t="shared" si="19"/>
        <v/>
      </c>
      <c r="X17" s="171">
        <f t="shared" si="22"/>
        <v>0</v>
      </c>
      <c r="Y17" s="171">
        <f t="shared" si="22"/>
        <v>0</v>
      </c>
      <c r="Z17" s="171">
        <f t="shared" si="22"/>
        <v>0</v>
      </c>
      <c r="AA17" s="186">
        <f t="shared" si="8"/>
        <v>0</v>
      </c>
      <c r="AB17" s="173">
        <f t="shared" si="13"/>
        <v>0</v>
      </c>
      <c r="AC17" s="79"/>
      <c r="AD17" s="76"/>
      <c r="AE17" s="76"/>
      <c r="AF17" s="76"/>
      <c r="AG17" s="76"/>
      <c r="AH17" s="76"/>
    </row>
    <row r="18" spans="1:34">
      <c r="A18" s="1"/>
      <c r="B18" s="4">
        <f t="shared" si="14"/>
        <v>45422</v>
      </c>
      <c r="C18" s="29">
        <f t="shared" si="20"/>
        <v>45422</v>
      </c>
      <c r="D18" s="6">
        <f t="shared" ca="1" si="1"/>
        <v>-131</v>
      </c>
      <c r="E18" s="90" t="s">
        <v>5</v>
      </c>
      <c r="F18" s="45"/>
      <c r="G18" s="46"/>
      <c r="H18" s="46"/>
      <c r="I18" s="151"/>
      <c r="J18" s="46"/>
      <c r="K18" s="152" t="str">
        <f t="shared" si="15"/>
        <v/>
      </c>
      <c r="L18" s="46"/>
      <c r="M18" s="46" t="str">
        <f t="shared" si="16"/>
        <v/>
      </c>
      <c r="N18" s="301"/>
      <c r="O18" s="171">
        <f t="shared" si="3"/>
        <v>1675.1315081940436</v>
      </c>
      <c r="P18" s="172">
        <f t="shared" si="17"/>
        <v>51924.65754097022</v>
      </c>
      <c r="Q18" s="128">
        <f t="shared" si="4"/>
        <v>51924.65754097022</v>
      </c>
      <c r="R18" s="128">
        <f t="shared" si="21"/>
        <v>0</v>
      </c>
      <c r="S18" s="195" t="str">
        <f t="shared" si="12"/>
        <v/>
      </c>
      <c r="T18" s="128"/>
      <c r="U18" s="128"/>
      <c r="V18" s="129" t="str">
        <f t="shared" si="18"/>
        <v/>
      </c>
      <c r="W18" s="129" t="str">
        <f t="shared" si="19"/>
        <v/>
      </c>
      <c r="X18" s="171">
        <f t="shared" si="22"/>
        <v>0</v>
      </c>
      <c r="Y18" s="171">
        <f t="shared" si="22"/>
        <v>0</v>
      </c>
      <c r="Z18" s="171">
        <f t="shared" si="22"/>
        <v>0</v>
      </c>
      <c r="AA18" s="186">
        <f t="shared" si="8"/>
        <v>0</v>
      </c>
      <c r="AB18" s="173">
        <f t="shared" si="13"/>
        <v>0</v>
      </c>
      <c r="AC18" s="79"/>
      <c r="AD18" s="76"/>
      <c r="AE18" s="76"/>
      <c r="AF18" s="76"/>
      <c r="AG18" s="76"/>
      <c r="AH18" s="76"/>
    </row>
    <row r="19" spans="1:34">
      <c r="A19" s="1"/>
      <c r="B19" s="4">
        <f t="shared" si="14"/>
        <v>45423</v>
      </c>
      <c r="C19" s="29">
        <f t="shared" si="20"/>
        <v>45423</v>
      </c>
      <c r="D19" s="6">
        <f t="shared" ca="1" si="1"/>
        <v>-132</v>
      </c>
      <c r="E19" s="90" t="s">
        <v>6</v>
      </c>
      <c r="F19" s="45"/>
      <c r="G19" s="46"/>
      <c r="H19" s="46"/>
      <c r="I19" s="151"/>
      <c r="J19" s="46"/>
      <c r="K19" s="152" t="str">
        <f t="shared" si="15"/>
        <v/>
      </c>
      <c r="L19" s="46"/>
      <c r="M19" s="46" t="str">
        <f t="shared" si="16"/>
        <v/>
      </c>
      <c r="N19" s="310"/>
      <c r="O19" s="171">
        <f t="shared" si="3"/>
        <v>1675.1315081940436</v>
      </c>
      <c r="P19" s="172">
        <f t="shared" si="17"/>
        <v>51924.65754097022</v>
      </c>
      <c r="Q19" s="128">
        <f t="shared" si="4"/>
        <v>51924.65754097022</v>
      </c>
      <c r="R19" s="128">
        <f t="shared" si="21"/>
        <v>0</v>
      </c>
      <c r="S19" s="195" t="str">
        <f t="shared" si="12"/>
        <v/>
      </c>
      <c r="T19" s="128"/>
      <c r="U19" s="128"/>
      <c r="V19" s="129" t="str">
        <f t="shared" si="18"/>
        <v/>
      </c>
      <c r="W19" s="129" t="str">
        <f t="shared" si="19"/>
        <v/>
      </c>
      <c r="X19" s="171">
        <f t="shared" si="22"/>
        <v>0</v>
      </c>
      <c r="Y19" s="171">
        <f t="shared" si="22"/>
        <v>0</v>
      </c>
      <c r="Z19" s="171">
        <f t="shared" si="22"/>
        <v>0</v>
      </c>
      <c r="AA19" s="186">
        <f t="shared" si="8"/>
        <v>0</v>
      </c>
      <c r="AB19" s="173">
        <f t="shared" si="13"/>
        <v>0</v>
      </c>
      <c r="AC19" s="79"/>
      <c r="AD19" s="76"/>
      <c r="AE19" s="76"/>
      <c r="AF19" s="76"/>
      <c r="AG19" s="76"/>
      <c r="AH19" s="76"/>
    </row>
    <row r="20" spans="1:34" ht="17" thickBot="1">
      <c r="A20" s="1"/>
      <c r="B20" s="43">
        <f t="shared" si="14"/>
        <v>45424</v>
      </c>
      <c r="C20" s="32">
        <f t="shared" si="20"/>
        <v>45424</v>
      </c>
      <c r="D20" s="44">
        <f t="shared" ca="1" si="1"/>
        <v>-133</v>
      </c>
      <c r="E20" s="93" t="s">
        <v>7</v>
      </c>
      <c r="F20" s="45"/>
      <c r="G20" s="46"/>
      <c r="H20" s="46"/>
      <c r="I20" s="151"/>
      <c r="J20" s="46"/>
      <c r="K20" s="152" t="str">
        <f t="shared" si="15"/>
        <v/>
      </c>
      <c r="L20" s="46"/>
      <c r="M20" s="46" t="str">
        <f t="shared" si="16"/>
        <v/>
      </c>
      <c r="N20" s="303"/>
      <c r="O20" s="171">
        <f t="shared" si="3"/>
        <v>1675.1315081940436</v>
      </c>
      <c r="P20" s="172">
        <f t="shared" si="17"/>
        <v>51924.65754097022</v>
      </c>
      <c r="Q20" s="128">
        <f t="shared" si="4"/>
        <v>51924.65754097022</v>
      </c>
      <c r="R20" s="128">
        <f t="shared" si="21"/>
        <v>0</v>
      </c>
      <c r="S20" s="195" t="str">
        <f t="shared" si="12"/>
        <v/>
      </c>
      <c r="T20" s="128"/>
      <c r="U20" s="128"/>
      <c r="V20" s="129" t="str">
        <f t="shared" si="18"/>
        <v/>
      </c>
      <c r="W20" s="129" t="str">
        <f t="shared" si="19"/>
        <v/>
      </c>
      <c r="X20" s="171">
        <f t="shared" si="22"/>
        <v>0</v>
      </c>
      <c r="Y20" s="171">
        <f t="shared" si="22"/>
        <v>0</v>
      </c>
      <c r="Z20" s="171">
        <f t="shared" si="22"/>
        <v>0</v>
      </c>
      <c r="AA20" s="186">
        <f t="shared" si="8"/>
        <v>0</v>
      </c>
      <c r="AB20" s="173">
        <f t="shared" si="13"/>
        <v>0</v>
      </c>
      <c r="AC20" s="79"/>
      <c r="AD20" s="76"/>
      <c r="AE20" s="76"/>
      <c r="AF20" s="76"/>
      <c r="AG20" s="76"/>
      <c r="AH20" s="76"/>
    </row>
    <row r="21" spans="1:34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71" t="str">
        <f t="shared" si="3"/>
        <v/>
      </c>
      <c r="P21" s="172"/>
      <c r="Q21" s="128">
        <f t="shared" si="4"/>
        <v>0</v>
      </c>
      <c r="R21" s="188"/>
      <c r="S21" s="195" t="str">
        <f t="shared" si="12"/>
        <v/>
      </c>
      <c r="T21" s="188"/>
      <c r="U21" s="188"/>
      <c r="V21" s="188"/>
      <c r="W21" s="188"/>
      <c r="X21" s="95"/>
      <c r="Y21" s="95"/>
      <c r="Z21" s="95"/>
      <c r="AA21" s="186">
        <f t="shared" si="8"/>
        <v>0</v>
      </c>
      <c r="AB21" s="173">
        <f t="shared" si="13"/>
        <v>0</v>
      </c>
      <c r="AC21" s="79"/>
      <c r="AD21" s="76"/>
      <c r="AE21" s="76"/>
      <c r="AF21" s="76"/>
      <c r="AG21" s="76"/>
      <c r="AH21" s="76"/>
    </row>
    <row r="22" spans="1:34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7.2855636830551367</v>
      </c>
      <c r="G22" s="53">
        <f>H22*1.0936113</f>
        <v>12822.5924925</v>
      </c>
      <c r="H22" s="104">
        <f>INT(SUM($O14:$O20))</f>
        <v>11725</v>
      </c>
      <c r="I22" s="120"/>
      <c r="J22" s="499"/>
      <c r="K22" s="500"/>
      <c r="L22" s="500"/>
      <c r="M22" s="500"/>
      <c r="N22" s="500"/>
      <c r="O22" s="171" t="str">
        <f t="shared" si="3"/>
        <v/>
      </c>
      <c r="P22" s="172"/>
      <c r="Q22" s="128">
        <f t="shared" si="4"/>
        <v>0</v>
      </c>
      <c r="R22" s="189"/>
      <c r="S22" s="195" t="str">
        <f t="shared" si="12"/>
        <v/>
      </c>
      <c r="T22" s="189"/>
      <c r="U22" s="189"/>
      <c r="V22" s="189"/>
      <c r="W22" s="189"/>
      <c r="X22" s="95"/>
      <c r="Y22" s="95"/>
      <c r="Z22" s="95"/>
      <c r="AA22" s="186">
        <f t="shared" si="8"/>
        <v>0</v>
      </c>
      <c r="AB22" s="173">
        <f t="shared" si="13"/>
        <v>0</v>
      </c>
      <c r="AC22" s="79"/>
      <c r="AD22" s="76"/>
      <c r="AE22" s="76"/>
      <c r="AF22" s="76"/>
      <c r="AG22" s="76"/>
      <c r="AH22" s="76"/>
    </row>
    <row r="23" spans="1:34" ht="17" thickTop="1">
      <c r="A23" s="1"/>
      <c r="B23" s="47">
        <f t="shared" ref="B23:B29" si="23">IF(B$2&gt;C23,0,C23)</f>
        <v>45425</v>
      </c>
      <c r="C23" s="31">
        <f>C20+1</f>
        <v>45425</v>
      </c>
      <c r="D23" s="18">
        <f t="shared" ca="1" si="1"/>
        <v>-134</v>
      </c>
      <c r="E23" s="94" t="s">
        <v>1</v>
      </c>
      <c r="F23" s="45"/>
      <c r="G23" s="46"/>
      <c r="H23" s="46"/>
      <c r="I23" s="151"/>
      <c r="J23" s="46"/>
      <c r="K23" s="152" t="str">
        <f t="shared" ref="K23:K29" si="24">IF(R23=0,"",IF(L23="","",J23))</f>
        <v/>
      </c>
      <c r="L23" s="101"/>
      <c r="M23" s="46" t="str">
        <f t="shared" ref="M23:M29" si="25">IF(R23=0,"",IF(J23="","",L23))</f>
        <v/>
      </c>
      <c r="N23" s="301"/>
      <c r="O23" s="171">
        <f t="shared" si="3"/>
        <v>1675.1315081940436</v>
      </c>
      <c r="P23" s="172">
        <f t="shared" ref="P23:P29" si="26">H$56</f>
        <v>51924.65754097022</v>
      </c>
      <c r="Q23" s="128">
        <f t="shared" si="4"/>
        <v>51924.65754097022</v>
      </c>
      <c r="R23" s="128">
        <f>IF(R$2=3,H23+G23/1.0936133+F23/0.0006213712,IF(R$2=2,H23*1.0936133+G23+F23/0.0005681818,IF(R$2=1,H23*0.0005681818*1.0936133+G23*0.0005681818+F23,"")))</f>
        <v>0</v>
      </c>
      <c r="S23" s="195" t="str">
        <f t="shared" si="12"/>
        <v/>
      </c>
      <c r="T23" s="128"/>
      <c r="U23" s="128"/>
      <c r="V23" s="129" t="str">
        <f t="shared" ref="V23:V29" si="27">IF(L23="","",IF(R23=0,"",IF(B23=0,"",IF($R$2=3,R23/L23*60/1000,IF($R$2=2,R23/L23*60/1760,IF($R$2=1,R23/L23*60,""))))))</f>
        <v/>
      </c>
      <c r="W23" s="129" t="str">
        <f t="shared" ref="W23:W29" si="28">IF(R23=0,"",IF(L23="","",V23*L23))</f>
        <v/>
      </c>
      <c r="X23" s="171">
        <f>F23+X20</f>
        <v>0</v>
      </c>
      <c r="Y23" s="171">
        <f>G23+Y20</f>
        <v>0</v>
      </c>
      <c r="Z23" s="171">
        <f>H23+Z20</f>
        <v>0</v>
      </c>
      <c r="AA23" s="186">
        <f t="shared" si="8"/>
        <v>0</v>
      </c>
      <c r="AB23" s="173">
        <f t="shared" si="13"/>
        <v>0</v>
      </c>
      <c r="AC23" s="79"/>
      <c r="AD23" s="76"/>
      <c r="AE23" s="76"/>
      <c r="AF23" s="76"/>
      <c r="AG23" s="76"/>
      <c r="AH23" s="76"/>
    </row>
    <row r="24" spans="1:34">
      <c r="A24" s="1"/>
      <c r="B24" s="4">
        <f t="shared" si="23"/>
        <v>45426</v>
      </c>
      <c r="C24" s="29">
        <f t="shared" ref="C24:C29" si="29">C23+1</f>
        <v>45426</v>
      </c>
      <c r="D24" s="6">
        <f t="shared" ca="1" si="1"/>
        <v>-135</v>
      </c>
      <c r="E24" s="90" t="s">
        <v>2</v>
      </c>
      <c r="F24" s="45"/>
      <c r="G24" s="46"/>
      <c r="H24" s="46"/>
      <c r="I24" s="151"/>
      <c r="J24" s="46"/>
      <c r="K24" s="152" t="str">
        <f t="shared" si="24"/>
        <v/>
      </c>
      <c r="L24" s="46"/>
      <c r="M24" s="46" t="str">
        <f t="shared" si="25"/>
        <v/>
      </c>
      <c r="N24" s="301"/>
      <c r="O24" s="171">
        <f t="shared" si="3"/>
        <v>1675.1315081940436</v>
      </c>
      <c r="P24" s="172">
        <f t="shared" si="26"/>
        <v>51924.65754097022</v>
      </c>
      <c r="Q24" s="128">
        <f t="shared" si="4"/>
        <v>51924.65754097022</v>
      </c>
      <c r="R24" s="128">
        <f t="shared" ref="R24:R29" si="30">IF(R$2=3,H24+G24/1.0936133+F24/0.0006213712,IF(R$2=2,H24*1.0936133+G24+F24/0.0005681818,IF(R$2=1,H24*0.0005681818*1.0936133+G24*0.0005681818+F24,"")))</f>
        <v>0</v>
      </c>
      <c r="S24" s="195" t="str">
        <f t="shared" si="12"/>
        <v/>
      </c>
      <c r="T24" s="128"/>
      <c r="U24" s="128"/>
      <c r="V24" s="129" t="str">
        <f t="shared" si="27"/>
        <v/>
      </c>
      <c r="W24" s="129" t="str">
        <f t="shared" si="28"/>
        <v/>
      </c>
      <c r="X24" s="171">
        <f t="shared" ref="X24:Z29" si="31">F24+X23</f>
        <v>0</v>
      </c>
      <c r="Y24" s="171">
        <f t="shared" si="31"/>
        <v>0</v>
      </c>
      <c r="Z24" s="171">
        <f t="shared" si="31"/>
        <v>0</v>
      </c>
      <c r="AA24" s="186">
        <f t="shared" si="8"/>
        <v>0</v>
      </c>
      <c r="AB24" s="173">
        <f t="shared" si="13"/>
        <v>0</v>
      </c>
      <c r="AC24" s="79"/>
      <c r="AD24" s="76"/>
      <c r="AE24" s="76"/>
      <c r="AF24" s="76"/>
      <c r="AG24" s="76"/>
      <c r="AH24" s="76"/>
    </row>
    <row r="25" spans="1:34">
      <c r="A25" s="1"/>
      <c r="B25" s="4">
        <f t="shared" si="23"/>
        <v>45427</v>
      </c>
      <c r="C25" s="29">
        <f t="shared" si="29"/>
        <v>45427</v>
      </c>
      <c r="D25" s="6">
        <f t="shared" ca="1" si="1"/>
        <v>-136</v>
      </c>
      <c r="E25" s="90" t="s">
        <v>3</v>
      </c>
      <c r="F25" s="45"/>
      <c r="G25" s="46"/>
      <c r="H25" s="46"/>
      <c r="I25" s="151"/>
      <c r="J25" s="46"/>
      <c r="K25" s="152" t="str">
        <f t="shared" si="24"/>
        <v/>
      </c>
      <c r="L25" s="46"/>
      <c r="M25" s="46" t="str">
        <f t="shared" si="25"/>
        <v/>
      </c>
      <c r="N25" s="301"/>
      <c r="O25" s="171">
        <f t="shared" si="3"/>
        <v>1675.1315081940436</v>
      </c>
      <c r="P25" s="172">
        <f t="shared" si="26"/>
        <v>51924.65754097022</v>
      </c>
      <c r="Q25" s="128">
        <f t="shared" si="4"/>
        <v>51924.65754097022</v>
      </c>
      <c r="R25" s="128">
        <f t="shared" si="30"/>
        <v>0</v>
      </c>
      <c r="S25" s="195" t="str">
        <f t="shared" si="12"/>
        <v/>
      </c>
      <c r="T25" s="128"/>
      <c r="U25" s="128"/>
      <c r="V25" s="129" t="str">
        <f t="shared" si="27"/>
        <v/>
      </c>
      <c r="W25" s="129" t="str">
        <f t="shared" si="28"/>
        <v/>
      </c>
      <c r="X25" s="171">
        <f t="shared" si="31"/>
        <v>0</v>
      </c>
      <c r="Y25" s="171">
        <f t="shared" si="31"/>
        <v>0</v>
      </c>
      <c r="Z25" s="171">
        <f t="shared" si="31"/>
        <v>0</v>
      </c>
      <c r="AA25" s="186">
        <f t="shared" si="8"/>
        <v>0</v>
      </c>
      <c r="AB25" s="173">
        <f t="shared" si="13"/>
        <v>0</v>
      </c>
      <c r="AC25" s="79"/>
      <c r="AD25" s="76"/>
      <c r="AE25" s="76"/>
      <c r="AF25" s="76"/>
      <c r="AG25" s="76"/>
      <c r="AH25" s="76"/>
    </row>
    <row r="26" spans="1:34">
      <c r="A26" s="1"/>
      <c r="B26" s="4">
        <f t="shared" si="23"/>
        <v>45428</v>
      </c>
      <c r="C26" s="29">
        <f t="shared" si="29"/>
        <v>45428</v>
      </c>
      <c r="D26" s="6">
        <f t="shared" ca="1" si="1"/>
        <v>-137</v>
      </c>
      <c r="E26" s="90" t="s">
        <v>4</v>
      </c>
      <c r="F26" s="45"/>
      <c r="G26" s="46"/>
      <c r="H26" s="46"/>
      <c r="I26" s="151"/>
      <c r="J26" s="46"/>
      <c r="K26" s="152" t="str">
        <f t="shared" si="24"/>
        <v/>
      </c>
      <c r="L26" s="46"/>
      <c r="M26" s="46" t="str">
        <f t="shared" si="25"/>
        <v/>
      </c>
      <c r="N26" s="301"/>
      <c r="O26" s="171">
        <f t="shared" si="3"/>
        <v>1675.1315081940436</v>
      </c>
      <c r="P26" s="172">
        <f t="shared" si="26"/>
        <v>51924.65754097022</v>
      </c>
      <c r="Q26" s="128">
        <f t="shared" si="4"/>
        <v>51924.65754097022</v>
      </c>
      <c r="R26" s="128">
        <f t="shared" si="30"/>
        <v>0</v>
      </c>
      <c r="S26" s="195" t="str">
        <f t="shared" si="12"/>
        <v/>
      </c>
      <c r="T26" s="128"/>
      <c r="U26" s="128"/>
      <c r="V26" s="129" t="str">
        <f t="shared" si="27"/>
        <v/>
      </c>
      <c r="W26" s="129" t="str">
        <f t="shared" si="28"/>
        <v/>
      </c>
      <c r="X26" s="171">
        <f t="shared" si="31"/>
        <v>0</v>
      </c>
      <c r="Y26" s="171">
        <f t="shared" si="31"/>
        <v>0</v>
      </c>
      <c r="Z26" s="171">
        <f t="shared" si="31"/>
        <v>0</v>
      </c>
      <c r="AA26" s="186">
        <f t="shared" si="8"/>
        <v>0</v>
      </c>
      <c r="AB26" s="173">
        <f t="shared" si="13"/>
        <v>0</v>
      </c>
      <c r="AC26" s="79"/>
      <c r="AD26" s="76"/>
      <c r="AE26" s="76"/>
      <c r="AF26" s="76"/>
      <c r="AG26" s="76"/>
      <c r="AH26" s="76"/>
    </row>
    <row r="27" spans="1:34">
      <c r="A27" s="1"/>
      <c r="B27" s="4">
        <f t="shared" si="23"/>
        <v>45429</v>
      </c>
      <c r="C27" s="29">
        <f t="shared" si="29"/>
        <v>45429</v>
      </c>
      <c r="D27" s="6">
        <f t="shared" ca="1" si="1"/>
        <v>-138</v>
      </c>
      <c r="E27" s="90" t="s">
        <v>5</v>
      </c>
      <c r="F27" s="45"/>
      <c r="G27" s="46"/>
      <c r="H27" s="46"/>
      <c r="I27" s="151"/>
      <c r="J27" s="46"/>
      <c r="K27" s="152" t="str">
        <f t="shared" si="24"/>
        <v/>
      </c>
      <c r="L27" s="46"/>
      <c r="M27" s="46" t="str">
        <f t="shared" si="25"/>
        <v/>
      </c>
      <c r="N27" s="301"/>
      <c r="O27" s="171">
        <f t="shared" si="3"/>
        <v>1675.1315081940436</v>
      </c>
      <c r="P27" s="172">
        <f t="shared" si="26"/>
        <v>51924.65754097022</v>
      </c>
      <c r="Q27" s="128">
        <f t="shared" si="4"/>
        <v>51924.65754097022</v>
      </c>
      <c r="R27" s="128">
        <f t="shared" si="30"/>
        <v>0</v>
      </c>
      <c r="S27" s="195" t="str">
        <f t="shared" si="12"/>
        <v/>
      </c>
      <c r="T27" s="128"/>
      <c r="U27" s="128"/>
      <c r="V27" s="129" t="str">
        <f t="shared" si="27"/>
        <v/>
      </c>
      <c r="W27" s="129" t="str">
        <f t="shared" si="28"/>
        <v/>
      </c>
      <c r="X27" s="171">
        <f t="shared" si="31"/>
        <v>0</v>
      </c>
      <c r="Y27" s="171">
        <f t="shared" si="31"/>
        <v>0</v>
      </c>
      <c r="Z27" s="171">
        <f t="shared" si="31"/>
        <v>0</v>
      </c>
      <c r="AA27" s="186">
        <f t="shared" si="8"/>
        <v>0</v>
      </c>
      <c r="AB27" s="173">
        <f t="shared" si="13"/>
        <v>0</v>
      </c>
      <c r="AC27" s="79"/>
      <c r="AD27" s="76"/>
      <c r="AE27" s="76"/>
      <c r="AF27" s="76"/>
      <c r="AG27" s="76"/>
      <c r="AH27" s="76"/>
    </row>
    <row r="28" spans="1:34">
      <c r="A28" s="1"/>
      <c r="B28" s="4">
        <f t="shared" si="23"/>
        <v>45430</v>
      </c>
      <c r="C28" s="29">
        <f t="shared" si="29"/>
        <v>45430</v>
      </c>
      <c r="D28" s="6">
        <f t="shared" ca="1" si="1"/>
        <v>-139</v>
      </c>
      <c r="E28" s="90" t="s">
        <v>6</v>
      </c>
      <c r="F28" s="45"/>
      <c r="G28" s="46"/>
      <c r="H28" s="46"/>
      <c r="I28" s="151"/>
      <c r="J28" s="46"/>
      <c r="K28" s="152" t="str">
        <f t="shared" si="24"/>
        <v/>
      </c>
      <c r="L28" s="46"/>
      <c r="M28" s="46" t="str">
        <f t="shared" si="25"/>
        <v/>
      </c>
      <c r="N28" s="301"/>
      <c r="O28" s="171">
        <f t="shared" si="3"/>
        <v>1675.1315081940436</v>
      </c>
      <c r="P28" s="172">
        <f t="shared" si="26"/>
        <v>51924.65754097022</v>
      </c>
      <c r="Q28" s="128">
        <f t="shared" si="4"/>
        <v>51924.65754097022</v>
      </c>
      <c r="R28" s="128">
        <f t="shared" si="30"/>
        <v>0</v>
      </c>
      <c r="S28" s="195" t="str">
        <f t="shared" si="12"/>
        <v/>
      </c>
      <c r="T28" s="128"/>
      <c r="U28" s="128"/>
      <c r="V28" s="129" t="str">
        <f t="shared" si="27"/>
        <v/>
      </c>
      <c r="W28" s="129" t="str">
        <f t="shared" si="28"/>
        <v/>
      </c>
      <c r="X28" s="171">
        <f t="shared" si="31"/>
        <v>0</v>
      </c>
      <c r="Y28" s="171">
        <f t="shared" si="31"/>
        <v>0</v>
      </c>
      <c r="Z28" s="171">
        <f t="shared" si="31"/>
        <v>0</v>
      </c>
      <c r="AA28" s="186">
        <f t="shared" si="8"/>
        <v>0</v>
      </c>
      <c r="AB28" s="173">
        <f t="shared" si="13"/>
        <v>0</v>
      </c>
      <c r="AC28" s="79"/>
      <c r="AD28" s="76"/>
      <c r="AE28" s="76"/>
      <c r="AF28" s="76"/>
      <c r="AG28" s="76"/>
      <c r="AH28" s="76"/>
    </row>
    <row r="29" spans="1:34" ht="17" thickBot="1">
      <c r="A29" s="1"/>
      <c r="B29" s="43">
        <f t="shared" si="23"/>
        <v>45431</v>
      </c>
      <c r="C29" s="32">
        <f t="shared" si="29"/>
        <v>45431</v>
      </c>
      <c r="D29" s="44">
        <f t="shared" ca="1" si="1"/>
        <v>-140</v>
      </c>
      <c r="E29" s="93" t="s">
        <v>7</v>
      </c>
      <c r="F29" s="45"/>
      <c r="G29" s="46"/>
      <c r="H29" s="46"/>
      <c r="I29" s="151"/>
      <c r="J29" s="46"/>
      <c r="K29" s="152" t="str">
        <f t="shared" si="24"/>
        <v/>
      </c>
      <c r="L29" s="46"/>
      <c r="M29" s="46" t="str">
        <f t="shared" si="25"/>
        <v/>
      </c>
      <c r="N29" s="301"/>
      <c r="O29" s="171">
        <f t="shared" si="3"/>
        <v>1675.1315081940436</v>
      </c>
      <c r="P29" s="172">
        <f t="shared" si="26"/>
        <v>51924.65754097022</v>
      </c>
      <c r="Q29" s="128">
        <f t="shared" si="4"/>
        <v>51924.65754097022</v>
      </c>
      <c r="R29" s="128">
        <f t="shared" si="30"/>
        <v>0</v>
      </c>
      <c r="S29" s="195" t="str">
        <f t="shared" si="12"/>
        <v/>
      </c>
      <c r="T29" s="128"/>
      <c r="U29" s="128"/>
      <c r="V29" s="129" t="str">
        <f t="shared" si="27"/>
        <v/>
      </c>
      <c r="W29" s="129" t="str">
        <f t="shared" si="28"/>
        <v/>
      </c>
      <c r="X29" s="171">
        <f t="shared" si="31"/>
        <v>0</v>
      </c>
      <c r="Y29" s="171">
        <f t="shared" si="31"/>
        <v>0</v>
      </c>
      <c r="Z29" s="171">
        <f t="shared" si="31"/>
        <v>0</v>
      </c>
      <c r="AA29" s="186">
        <f t="shared" si="8"/>
        <v>0</v>
      </c>
      <c r="AB29" s="173">
        <f t="shared" si="13"/>
        <v>0</v>
      </c>
      <c r="AC29" s="79"/>
      <c r="AD29" s="76"/>
      <c r="AE29" s="76"/>
      <c r="AF29" s="76"/>
      <c r="AG29" s="76"/>
      <c r="AH29" s="76"/>
    </row>
    <row r="30" spans="1:34" ht="17" customHeight="1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71" t="str">
        <f t="shared" si="3"/>
        <v/>
      </c>
      <c r="P30" s="172"/>
      <c r="Q30" s="128">
        <f t="shared" si="4"/>
        <v>0</v>
      </c>
      <c r="R30" s="188"/>
      <c r="S30" s="195" t="str">
        <f t="shared" si="12"/>
        <v/>
      </c>
      <c r="T30" s="188"/>
      <c r="U30" s="188"/>
      <c r="V30" s="188"/>
      <c r="W30" s="188"/>
      <c r="X30" s="95"/>
      <c r="Y30" s="95"/>
      <c r="Z30" s="95"/>
      <c r="AA30" s="186">
        <f t="shared" si="8"/>
        <v>0</v>
      </c>
      <c r="AB30" s="173">
        <f t="shared" si="13"/>
        <v>0</v>
      </c>
      <c r="AC30" s="79"/>
      <c r="AD30" s="76"/>
      <c r="AE30" s="76"/>
      <c r="AF30" s="76"/>
      <c r="AG30" s="76"/>
      <c r="AH30" s="76"/>
    </row>
    <row r="31" spans="1:34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7.2855636830551367</v>
      </c>
      <c r="G31" s="53">
        <f>H31*1.0936113</f>
        <v>12822.5924925</v>
      </c>
      <c r="H31" s="104">
        <f>INT(SUM($O23:$O29))</f>
        <v>11725</v>
      </c>
      <c r="I31" s="120"/>
      <c r="J31" s="503"/>
      <c r="K31" s="504"/>
      <c r="L31" s="504"/>
      <c r="M31" s="271"/>
      <c r="N31" s="506"/>
      <c r="O31" s="171" t="str">
        <f t="shared" si="3"/>
        <v/>
      </c>
      <c r="P31" s="172"/>
      <c r="Q31" s="128">
        <f t="shared" si="4"/>
        <v>0</v>
      </c>
      <c r="R31" s="189"/>
      <c r="S31" s="195" t="str">
        <f t="shared" si="12"/>
        <v/>
      </c>
      <c r="T31" s="189"/>
      <c r="U31" s="189"/>
      <c r="V31" s="189"/>
      <c r="W31" s="189"/>
      <c r="X31" s="95"/>
      <c r="Y31" s="95"/>
      <c r="Z31" s="95"/>
      <c r="AA31" s="186">
        <f t="shared" si="8"/>
        <v>0</v>
      </c>
      <c r="AB31" s="173">
        <f t="shared" si="13"/>
        <v>0</v>
      </c>
      <c r="AC31" s="79"/>
      <c r="AD31" s="76"/>
      <c r="AE31" s="76"/>
      <c r="AF31" s="76"/>
      <c r="AG31" s="76"/>
      <c r="AH31" s="76"/>
    </row>
    <row r="32" spans="1:34" ht="17" thickTop="1">
      <c r="A32" s="1"/>
      <c r="B32" s="47">
        <f t="shared" ref="B32:B38" si="32">IF(B$2&gt;C32,0,C32)</f>
        <v>45432</v>
      </c>
      <c r="C32" s="31">
        <f>C29+1</f>
        <v>45432</v>
      </c>
      <c r="D32" s="18">
        <f t="shared" ca="1" si="1"/>
        <v>-141</v>
      </c>
      <c r="E32" s="94" t="s">
        <v>1</v>
      </c>
      <c r="F32" s="45"/>
      <c r="G32" s="46"/>
      <c r="H32" s="46"/>
      <c r="I32" s="151"/>
      <c r="J32" s="46"/>
      <c r="K32" s="152" t="str">
        <f t="shared" ref="K32:K38" si="33">IF(R32=0,"",IF(L32="","",J32))</f>
        <v/>
      </c>
      <c r="L32" s="121"/>
      <c r="M32" s="46" t="str">
        <f>IF(R32=0,"",IF(J32="","",L32))</f>
        <v/>
      </c>
      <c r="N32" s="301"/>
      <c r="O32" s="171">
        <f t="shared" si="3"/>
        <v>1675.1315081940436</v>
      </c>
      <c r="P32" s="172">
        <f t="shared" ref="P32:P38" si="34">H$56</f>
        <v>51924.65754097022</v>
      </c>
      <c r="Q32" s="128">
        <f t="shared" si="4"/>
        <v>51924.65754097022</v>
      </c>
      <c r="R32" s="128">
        <f>IF(R$2=3,H32+G32/1.0936133+F32/0.0006213712,IF(R$2=2,H32*1.0936133+G32+F32/0.0005681818,IF(R$2=1,H32*0.0005681818*1.0936133+G32*0.0005681818+F32,"")))</f>
        <v>0</v>
      </c>
      <c r="S32" s="195" t="str">
        <f t="shared" si="12"/>
        <v/>
      </c>
      <c r="T32" s="128"/>
      <c r="U32" s="128"/>
      <c r="V32" s="129" t="str">
        <f t="shared" ref="V32:V38" si="35">IF(L32="","",IF(R32=0,"",IF(B32=0,"",IF($R$2=3,R32/L32*60/1000,IF($R$2=2,R32/L32*60/1760,IF($R$2=1,R32/L32*60,""))))))</f>
        <v/>
      </c>
      <c r="W32" s="129" t="str">
        <f t="shared" ref="W32:W38" si="36">IF(R32=0,"",IF(L32="","",V32*L32))</f>
        <v/>
      </c>
      <c r="X32" s="171">
        <f>F32+X29</f>
        <v>0</v>
      </c>
      <c r="Y32" s="171">
        <f>G32+Y29</f>
        <v>0</v>
      </c>
      <c r="Z32" s="171">
        <f>H32+Z29</f>
        <v>0</v>
      </c>
      <c r="AA32" s="186">
        <f t="shared" si="8"/>
        <v>0</v>
      </c>
      <c r="AB32" s="173">
        <f t="shared" si="13"/>
        <v>0</v>
      </c>
      <c r="AC32" s="79"/>
      <c r="AD32" s="76"/>
      <c r="AE32" s="76"/>
      <c r="AF32" s="76"/>
      <c r="AG32" s="76"/>
      <c r="AH32" s="76"/>
    </row>
    <row r="33" spans="1:34">
      <c r="A33" s="1"/>
      <c r="B33" s="4">
        <f t="shared" si="32"/>
        <v>45433</v>
      </c>
      <c r="C33" s="29">
        <f t="shared" ref="C33:C38" si="37">C32+1</f>
        <v>45433</v>
      </c>
      <c r="D33" s="6">
        <f t="shared" ca="1" si="1"/>
        <v>-142</v>
      </c>
      <c r="E33" s="90" t="s">
        <v>2</v>
      </c>
      <c r="F33" s="45"/>
      <c r="G33" s="46"/>
      <c r="H33" s="46"/>
      <c r="I33" s="151"/>
      <c r="J33" s="46"/>
      <c r="K33" s="152" t="str">
        <f t="shared" si="33"/>
        <v/>
      </c>
      <c r="L33" s="46"/>
      <c r="M33" s="46" t="str">
        <f t="shared" ref="M33:M38" si="38">IF(R33=0,"",IF(J33="","",L33))</f>
        <v/>
      </c>
      <c r="N33" s="301"/>
      <c r="O33" s="171">
        <f t="shared" si="3"/>
        <v>1675.1315081940436</v>
      </c>
      <c r="P33" s="172">
        <f t="shared" si="34"/>
        <v>51924.65754097022</v>
      </c>
      <c r="Q33" s="128">
        <f t="shared" si="4"/>
        <v>51924.65754097022</v>
      </c>
      <c r="R33" s="128">
        <f t="shared" ref="R33:R38" si="39">IF(R$2=3,H33+G33/1.0936133+F33/0.0006213712,IF(R$2=2,H33*1.0936133+G33+F33/0.0005681818,IF(R$2=1,H33*0.0005681818*1.0936133+G33*0.0005681818+F33,"")))</f>
        <v>0</v>
      </c>
      <c r="S33" s="195" t="str">
        <f t="shared" si="12"/>
        <v/>
      </c>
      <c r="T33" s="128"/>
      <c r="U33" s="128"/>
      <c r="V33" s="129" t="str">
        <f t="shared" si="35"/>
        <v/>
      </c>
      <c r="W33" s="129" t="str">
        <f t="shared" si="36"/>
        <v/>
      </c>
      <c r="X33" s="171">
        <f t="shared" ref="X33:Z38" si="40">F33+X32</f>
        <v>0</v>
      </c>
      <c r="Y33" s="171">
        <f t="shared" si="40"/>
        <v>0</v>
      </c>
      <c r="Z33" s="171">
        <f t="shared" si="40"/>
        <v>0</v>
      </c>
      <c r="AA33" s="186">
        <f t="shared" si="8"/>
        <v>0</v>
      </c>
      <c r="AB33" s="173">
        <f t="shared" si="13"/>
        <v>0</v>
      </c>
      <c r="AC33" s="79"/>
      <c r="AD33" s="76"/>
      <c r="AE33" s="76"/>
      <c r="AF33" s="76"/>
      <c r="AG33" s="76"/>
      <c r="AH33" s="76"/>
    </row>
    <row r="34" spans="1:34">
      <c r="A34" s="1"/>
      <c r="B34" s="4">
        <f t="shared" si="32"/>
        <v>45434</v>
      </c>
      <c r="C34" s="29">
        <f t="shared" si="37"/>
        <v>45434</v>
      </c>
      <c r="D34" s="6">
        <f t="shared" ca="1" si="1"/>
        <v>-143</v>
      </c>
      <c r="E34" s="90" t="s">
        <v>3</v>
      </c>
      <c r="F34" s="45"/>
      <c r="G34" s="46"/>
      <c r="H34" s="46"/>
      <c r="I34" s="151"/>
      <c r="J34" s="46"/>
      <c r="K34" s="152" t="str">
        <f t="shared" si="33"/>
        <v/>
      </c>
      <c r="L34" s="46"/>
      <c r="M34" s="46" t="str">
        <f t="shared" si="38"/>
        <v/>
      </c>
      <c r="N34" s="301"/>
      <c r="O34" s="171">
        <f t="shared" si="3"/>
        <v>1675.1315081940436</v>
      </c>
      <c r="P34" s="172">
        <f t="shared" si="34"/>
        <v>51924.65754097022</v>
      </c>
      <c r="Q34" s="128">
        <f t="shared" si="4"/>
        <v>51924.65754097022</v>
      </c>
      <c r="R34" s="128">
        <f t="shared" si="39"/>
        <v>0</v>
      </c>
      <c r="S34" s="195" t="str">
        <f t="shared" si="12"/>
        <v/>
      </c>
      <c r="T34" s="128"/>
      <c r="U34" s="128"/>
      <c r="V34" s="129" t="str">
        <f t="shared" si="35"/>
        <v/>
      </c>
      <c r="W34" s="129" t="str">
        <f t="shared" si="36"/>
        <v/>
      </c>
      <c r="X34" s="171">
        <f t="shared" si="40"/>
        <v>0</v>
      </c>
      <c r="Y34" s="171">
        <f t="shared" si="40"/>
        <v>0</v>
      </c>
      <c r="Z34" s="171">
        <f t="shared" si="40"/>
        <v>0</v>
      </c>
      <c r="AA34" s="186">
        <f t="shared" si="8"/>
        <v>0</v>
      </c>
      <c r="AB34" s="173">
        <f t="shared" si="13"/>
        <v>0</v>
      </c>
      <c r="AC34" s="79"/>
      <c r="AD34" s="76"/>
      <c r="AE34" s="76"/>
      <c r="AF34" s="76"/>
      <c r="AG34" s="76"/>
      <c r="AH34" s="76"/>
    </row>
    <row r="35" spans="1:34">
      <c r="A35" s="1"/>
      <c r="B35" s="4">
        <f t="shared" si="32"/>
        <v>45435</v>
      </c>
      <c r="C35" s="29">
        <f t="shared" si="37"/>
        <v>45435</v>
      </c>
      <c r="D35" s="6">
        <f t="shared" ca="1" si="1"/>
        <v>-144</v>
      </c>
      <c r="E35" s="90" t="s">
        <v>4</v>
      </c>
      <c r="F35" s="45"/>
      <c r="G35" s="46"/>
      <c r="H35" s="46"/>
      <c r="I35" s="151"/>
      <c r="J35" s="46"/>
      <c r="K35" s="152" t="str">
        <f t="shared" si="33"/>
        <v/>
      </c>
      <c r="L35" s="46"/>
      <c r="M35" s="46" t="str">
        <f t="shared" si="38"/>
        <v/>
      </c>
      <c r="N35" s="310"/>
      <c r="O35" s="171">
        <f t="shared" si="3"/>
        <v>1675.1315081940436</v>
      </c>
      <c r="P35" s="172">
        <f t="shared" si="34"/>
        <v>51924.65754097022</v>
      </c>
      <c r="Q35" s="128">
        <f t="shared" si="4"/>
        <v>51924.65754097022</v>
      </c>
      <c r="R35" s="128">
        <f t="shared" si="39"/>
        <v>0</v>
      </c>
      <c r="S35" s="195" t="str">
        <f t="shared" si="12"/>
        <v/>
      </c>
      <c r="T35" s="128"/>
      <c r="U35" s="128"/>
      <c r="V35" s="129" t="str">
        <f t="shared" si="35"/>
        <v/>
      </c>
      <c r="W35" s="129" t="str">
        <f t="shared" si="36"/>
        <v/>
      </c>
      <c r="X35" s="171">
        <f t="shared" si="40"/>
        <v>0</v>
      </c>
      <c r="Y35" s="171">
        <f t="shared" si="40"/>
        <v>0</v>
      </c>
      <c r="Z35" s="171">
        <f t="shared" si="40"/>
        <v>0</v>
      </c>
      <c r="AA35" s="186">
        <f t="shared" si="8"/>
        <v>0</v>
      </c>
      <c r="AB35" s="173">
        <f t="shared" si="13"/>
        <v>0</v>
      </c>
      <c r="AC35" s="79"/>
      <c r="AD35" s="76"/>
      <c r="AE35" s="76"/>
      <c r="AF35" s="76"/>
      <c r="AG35" s="76"/>
      <c r="AH35" s="76"/>
    </row>
    <row r="36" spans="1:34">
      <c r="A36" s="1"/>
      <c r="B36" s="4">
        <f t="shared" si="32"/>
        <v>45436</v>
      </c>
      <c r="C36" s="29">
        <f t="shared" si="37"/>
        <v>45436</v>
      </c>
      <c r="D36" s="6">
        <f t="shared" ca="1" si="1"/>
        <v>-145</v>
      </c>
      <c r="E36" s="90" t="s">
        <v>5</v>
      </c>
      <c r="F36" s="45"/>
      <c r="G36" s="46"/>
      <c r="H36" s="46"/>
      <c r="I36" s="151"/>
      <c r="J36" s="46"/>
      <c r="K36" s="152" t="str">
        <f t="shared" si="33"/>
        <v/>
      </c>
      <c r="L36" s="46"/>
      <c r="M36" s="46" t="str">
        <f t="shared" si="38"/>
        <v/>
      </c>
      <c r="N36" s="301"/>
      <c r="O36" s="171">
        <f t="shared" si="3"/>
        <v>1675.1315081940436</v>
      </c>
      <c r="P36" s="172">
        <f t="shared" si="34"/>
        <v>51924.65754097022</v>
      </c>
      <c r="Q36" s="128">
        <f t="shared" si="4"/>
        <v>51924.65754097022</v>
      </c>
      <c r="R36" s="128">
        <f t="shared" si="39"/>
        <v>0</v>
      </c>
      <c r="S36" s="195" t="str">
        <f t="shared" si="12"/>
        <v/>
      </c>
      <c r="T36" s="128"/>
      <c r="U36" s="128"/>
      <c r="V36" s="129" t="str">
        <f t="shared" si="35"/>
        <v/>
      </c>
      <c r="W36" s="129" t="str">
        <f t="shared" si="36"/>
        <v/>
      </c>
      <c r="X36" s="171">
        <f t="shared" si="40"/>
        <v>0</v>
      </c>
      <c r="Y36" s="171">
        <f t="shared" si="40"/>
        <v>0</v>
      </c>
      <c r="Z36" s="171">
        <f t="shared" si="40"/>
        <v>0</v>
      </c>
      <c r="AA36" s="186">
        <f t="shared" si="8"/>
        <v>0</v>
      </c>
      <c r="AB36" s="173">
        <f t="shared" si="13"/>
        <v>0</v>
      </c>
      <c r="AC36" s="79"/>
      <c r="AD36" s="76"/>
      <c r="AE36" s="76"/>
      <c r="AF36" s="76"/>
      <c r="AG36" s="76"/>
      <c r="AH36" s="76"/>
    </row>
    <row r="37" spans="1:34">
      <c r="A37" s="1"/>
      <c r="B37" s="4">
        <f t="shared" si="32"/>
        <v>45437</v>
      </c>
      <c r="C37" s="29">
        <f t="shared" si="37"/>
        <v>45437</v>
      </c>
      <c r="D37" s="6">
        <f t="shared" ca="1" si="1"/>
        <v>-146</v>
      </c>
      <c r="E37" s="90" t="s">
        <v>6</v>
      </c>
      <c r="F37" s="45"/>
      <c r="G37" s="46"/>
      <c r="H37" s="46"/>
      <c r="I37" s="151"/>
      <c r="J37" s="46"/>
      <c r="K37" s="152" t="str">
        <f t="shared" si="33"/>
        <v/>
      </c>
      <c r="L37" s="46"/>
      <c r="M37" s="46" t="str">
        <f t="shared" si="38"/>
        <v/>
      </c>
      <c r="N37" s="310"/>
      <c r="O37" s="171">
        <f t="shared" si="3"/>
        <v>1675.1315081940436</v>
      </c>
      <c r="P37" s="172">
        <f t="shared" si="34"/>
        <v>51924.65754097022</v>
      </c>
      <c r="Q37" s="128">
        <f t="shared" si="4"/>
        <v>51924.65754097022</v>
      </c>
      <c r="R37" s="128">
        <f t="shared" si="39"/>
        <v>0</v>
      </c>
      <c r="S37" s="195" t="str">
        <f t="shared" si="12"/>
        <v/>
      </c>
      <c r="T37" s="128"/>
      <c r="U37" s="128"/>
      <c r="V37" s="129" t="str">
        <f t="shared" si="35"/>
        <v/>
      </c>
      <c r="W37" s="129" t="str">
        <f t="shared" si="36"/>
        <v/>
      </c>
      <c r="X37" s="171">
        <f t="shared" si="40"/>
        <v>0</v>
      </c>
      <c r="Y37" s="171">
        <f t="shared" si="40"/>
        <v>0</v>
      </c>
      <c r="Z37" s="171">
        <f t="shared" si="40"/>
        <v>0</v>
      </c>
      <c r="AA37" s="186">
        <f t="shared" si="8"/>
        <v>0</v>
      </c>
      <c r="AB37" s="173">
        <f t="shared" si="13"/>
        <v>0</v>
      </c>
      <c r="AC37" s="79"/>
      <c r="AD37" s="76"/>
      <c r="AE37" s="76"/>
      <c r="AF37" s="76"/>
      <c r="AG37" s="76"/>
      <c r="AH37" s="76"/>
    </row>
    <row r="38" spans="1:34" ht="17" thickBot="1">
      <c r="A38" s="1"/>
      <c r="B38" s="43">
        <f t="shared" si="32"/>
        <v>45438</v>
      </c>
      <c r="C38" s="32">
        <f t="shared" si="37"/>
        <v>45438</v>
      </c>
      <c r="D38" s="44">
        <f t="shared" ca="1" si="1"/>
        <v>-147</v>
      </c>
      <c r="E38" s="93" t="s">
        <v>7</v>
      </c>
      <c r="F38" s="45"/>
      <c r="G38" s="46"/>
      <c r="H38" s="46"/>
      <c r="I38" s="151"/>
      <c r="J38" s="46"/>
      <c r="K38" s="152" t="str">
        <f t="shared" si="33"/>
        <v/>
      </c>
      <c r="L38" s="46"/>
      <c r="M38" s="46" t="str">
        <f t="shared" si="38"/>
        <v/>
      </c>
      <c r="N38" s="303"/>
      <c r="O38" s="171">
        <f t="shared" si="3"/>
        <v>1675.1315081940436</v>
      </c>
      <c r="P38" s="172">
        <f t="shared" si="34"/>
        <v>51924.65754097022</v>
      </c>
      <c r="Q38" s="128">
        <f t="shared" si="4"/>
        <v>51924.65754097022</v>
      </c>
      <c r="R38" s="128">
        <f t="shared" si="39"/>
        <v>0</v>
      </c>
      <c r="S38" s="195" t="str">
        <f t="shared" si="12"/>
        <v/>
      </c>
      <c r="T38" s="128"/>
      <c r="U38" s="128"/>
      <c r="V38" s="129" t="str">
        <f t="shared" si="35"/>
        <v/>
      </c>
      <c r="W38" s="129" t="str">
        <f t="shared" si="36"/>
        <v/>
      </c>
      <c r="X38" s="171">
        <f t="shared" si="40"/>
        <v>0</v>
      </c>
      <c r="Y38" s="171">
        <f t="shared" si="40"/>
        <v>0</v>
      </c>
      <c r="Z38" s="171">
        <f t="shared" si="40"/>
        <v>0</v>
      </c>
      <c r="AA38" s="186">
        <f t="shared" si="8"/>
        <v>0</v>
      </c>
      <c r="AB38" s="173">
        <f t="shared" si="13"/>
        <v>0</v>
      </c>
      <c r="AC38" s="79"/>
      <c r="AD38" s="76"/>
      <c r="AE38" s="76"/>
      <c r="AF38" s="76"/>
      <c r="AG38" s="76"/>
      <c r="AH38" s="76"/>
    </row>
    <row r="39" spans="1:34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71" t="str">
        <f t="shared" si="3"/>
        <v/>
      </c>
      <c r="P39" s="172"/>
      <c r="Q39" s="128">
        <f t="shared" si="4"/>
        <v>0</v>
      </c>
      <c r="R39" s="188"/>
      <c r="S39" s="195" t="str">
        <f t="shared" si="12"/>
        <v/>
      </c>
      <c r="T39" s="188"/>
      <c r="U39" s="188"/>
      <c r="V39" s="188"/>
      <c r="W39" s="188"/>
      <c r="X39" s="95"/>
      <c r="Y39" s="95"/>
      <c r="Z39" s="95"/>
      <c r="AA39" s="186">
        <f t="shared" si="8"/>
        <v>0</v>
      </c>
      <c r="AB39" s="173">
        <f t="shared" si="13"/>
        <v>0</v>
      </c>
      <c r="AC39" s="79"/>
      <c r="AD39" s="76"/>
      <c r="AE39" s="76"/>
      <c r="AF39" s="76"/>
      <c r="AG39" s="76"/>
      <c r="AH39" s="76"/>
    </row>
    <row r="40" spans="1:34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7.2855636830551367</v>
      </c>
      <c r="G40" s="53">
        <f>H40*1.0936113</f>
        <v>12822.5924925</v>
      </c>
      <c r="H40" s="5">
        <f>INT(SUM($O32:$O38))</f>
        <v>11725</v>
      </c>
      <c r="I40" s="120"/>
      <c r="J40" s="123"/>
      <c r="K40" s="124"/>
      <c r="L40" s="159">
        <f>COUNT(S5:S51)-COUNT(V5:V51)</f>
        <v>0</v>
      </c>
      <c r="M40" s="124"/>
      <c r="N40" s="124"/>
      <c r="O40" s="171" t="str">
        <f t="shared" si="3"/>
        <v/>
      </c>
      <c r="P40" s="172"/>
      <c r="Q40" s="128">
        <f t="shared" si="4"/>
        <v>0</v>
      </c>
      <c r="R40" s="189"/>
      <c r="S40" s="195" t="str">
        <f t="shared" si="12"/>
        <v/>
      </c>
      <c r="T40" s="189"/>
      <c r="U40" s="189"/>
      <c r="V40" s="189"/>
      <c r="W40" s="189"/>
      <c r="X40" s="95"/>
      <c r="Y40" s="95"/>
      <c r="Z40" s="95"/>
      <c r="AA40" s="186">
        <f t="shared" si="8"/>
        <v>0</v>
      </c>
      <c r="AB40" s="173">
        <f t="shared" si="13"/>
        <v>0</v>
      </c>
      <c r="AC40" s="79"/>
      <c r="AD40" s="76"/>
      <c r="AE40" s="76"/>
      <c r="AF40" s="76"/>
      <c r="AG40" s="76"/>
      <c r="AH40" s="76"/>
    </row>
    <row r="41" spans="1:34" ht="17" thickTop="1">
      <c r="A41" s="1"/>
      <c r="B41" s="47">
        <f t="shared" ref="B41:B47" si="41">IF(B$3&lt;C41,0,C41)</f>
        <v>45439</v>
      </c>
      <c r="C41" s="31">
        <f>C38+1</f>
        <v>45439</v>
      </c>
      <c r="D41" s="18">
        <f t="shared" ca="1" si="1"/>
        <v>-148</v>
      </c>
      <c r="E41" s="94" t="str">
        <f>IF(B41=0,"","Monday")</f>
        <v>Monday</v>
      </c>
      <c r="F41" s="45"/>
      <c r="G41" s="46"/>
      <c r="H41" s="46"/>
      <c r="I41" s="151"/>
      <c r="J41" s="101"/>
      <c r="K41" s="152" t="str">
        <f t="shared" ref="K41:K47" si="42">IF(R41=0,"",IF(L41="","",J41))</f>
        <v/>
      </c>
      <c r="L41" s="101"/>
      <c r="M41" s="46" t="str">
        <f>IF(R41=0,"",IF(J41="","",L41))</f>
        <v/>
      </c>
      <c r="N41" s="301"/>
      <c r="O41" s="171">
        <f t="shared" si="3"/>
        <v>1675.1315081940436</v>
      </c>
      <c r="P41" s="172">
        <f t="shared" ref="P41:P47" si="43">H$56</f>
        <v>51924.65754097022</v>
      </c>
      <c r="Q41" s="128">
        <f t="shared" si="4"/>
        <v>51924.65754097022</v>
      </c>
      <c r="R41" s="128">
        <f>IF(R$2=3,H41+G41/1.0936133+F41/0.0006213712,IF(R$2=2,H41*1.0936133+G41+F41/0.0005681818,IF(R$2=1,H41*0.0005681818*1.0936133+G41*0.0005681818+F41,"")))</f>
        <v>0</v>
      </c>
      <c r="S41" s="195" t="str">
        <f t="shared" si="12"/>
        <v/>
      </c>
      <c r="T41" s="128"/>
      <c r="U41" s="128"/>
      <c r="V41" s="129" t="str">
        <f t="shared" ref="V41:V47" si="44">IF(L41="","",IF(R41=0,"",IF(B41=0,"",IF($R$2=3,R41/L41*60/1000,IF($R$2=2,R41/L41*60/1760,IF($R$2=1,R41/L41*60,""))))))</f>
        <v/>
      </c>
      <c r="W41" s="129" t="str">
        <f t="shared" ref="W41:W47" si="45">IF(R41=0,"",IF(L41="","",V41*L41))</f>
        <v/>
      </c>
      <c r="X41" s="171">
        <f>F41+X38</f>
        <v>0</v>
      </c>
      <c r="Y41" s="171">
        <f>G41+Y38</f>
        <v>0</v>
      </c>
      <c r="Z41" s="171">
        <f>H41+Z38</f>
        <v>0</v>
      </c>
      <c r="AA41" s="186">
        <f t="shared" si="8"/>
        <v>0</v>
      </c>
      <c r="AB41" s="173">
        <f t="shared" si="13"/>
        <v>0</v>
      </c>
      <c r="AC41" s="79"/>
      <c r="AD41" s="76"/>
      <c r="AE41" s="76"/>
      <c r="AF41" s="76"/>
      <c r="AG41" s="76"/>
      <c r="AH41" s="76"/>
    </row>
    <row r="42" spans="1:34">
      <c r="A42" s="1"/>
      <c r="B42" s="4">
        <f t="shared" si="41"/>
        <v>45440</v>
      </c>
      <c r="C42" s="29">
        <f t="shared" ref="C42:C47" si="46">C41+1</f>
        <v>45440</v>
      </c>
      <c r="D42" s="6">
        <f t="shared" ca="1" si="1"/>
        <v>-149</v>
      </c>
      <c r="E42" s="90" t="str">
        <f>IF(B42=0,"","Tuesday")</f>
        <v>Tuesday</v>
      </c>
      <c r="F42" s="45"/>
      <c r="G42" s="46"/>
      <c r="H42" s="46"/>
      <c r="I42" s="151"/>
      <c r="J42" s="46"/>
      <c r="K42" s="152" t="str">
        <f t="shared" si="42"/>
        <v/>
      </c>
      <c r="L42" s="46"/>
      <c r="M42" s="46" t="str">
        <f t="shared" ref="M42:M47" si="47">IF(R42=0,"",IF(J42="","",L42))</f>
        <v/>
      </c>
      <c r="N42" s="301"/>
      <c r="O42" s="171">
        <f t="shared" si="3"/>
        <v>1675.1315081940436</v>
      </c>
      <c r="P42" s="172">
        <f t="shared" si="43"/>
        <v>51924.65754097022</v>
      </c>
      <c r="Q42" s="128">
        <f t="shared" si="4"/>
        <v>51924.65754097022</v>
      </c>
      <c r="R42" s="128">
        <f t="shared" ref="R42:R47" si="48">IF(R$2=3,H42+G42/1.0936133+F42/0.0006213712,IF(R$2=2,H42*1.0936133+G42+F42/0.0005681818,IF(R$2=1,H42*0.0005681818*1.0936133+G42*0.0005681818+F42,"")))</f>
        <v>0</v>
      </c>
      <c r="S42" s="195" t="str">
        <f t="shared" si="12"/>
        <v/>
      </c>
      <c r="T42" s="128"/>
      <c r="U42" s="128"/>
      <c r="V42" s="129" t="str">
        <f t="shared" si="44"/>
        <v/>
      </c>
      <c r="W42" s="129" t="str">
        <f t="shared" si="45"/>
        <v/>
      </c>
      <c r="X42" s="171">
        <f t="shared" ref="X42:Z47" si="49">F42+X41</f>
        <v>0</v>
      </c>
      <c r="Y42" s="171">
        <f t="shared" si="49"/>
        <v>0</v>
      </c>
      <c r="Z42" s="171">
        <f t="shared" si="49"/>
        <v>0</v>
      </c>
      <c r="AA42" s="186">
        <f t="shared" si="8"/>
        <v>0</v>
      </c>
      <c r="AB42" s="173">
        <f t="shared" si="13"/>
        <v>0</v>
      </c>
      <c r="AC42" s="79"/>
      <c r="AD42" s="76"/>
      <c r="AE42" s="76"/>
      <c r="AF42" s="76"/>
      <c r="AG42" s="76"/>
      <c r="AH42" s="76"/>
    </row>
    <row r="43" spans="1:34">
      <c r="A43" s="1"/>
      <c r="B43" s="4">
        <f t="shared" si="41"/>
        <v>45441</v>
      </c>
      <c r="C43" s="29">
        <f t="shared" si="46"/>
        <v>45441</v>
      </c>
      <c r="D43" s="6">
        <f t="shared" ca="1" si="1"/>
        <v>-150</v>
      </c>
      <c r="E43" s="90" t="str">
        <f>IF(B43=0,"","Wednesday")</f>
        <v>Wednesday</v>
      </c>
      <c r="F43" s="45"/>
      <c r="G43" s="46"/>
      <c r="H43" s="46"/>
      <c r="I43" s="151"/>
      <c r="J43" s="46"/>
      <c r="K43" s="152" t="str">
        <f t="shared" si="42"/>
        <v/>
      </c>
      <c r="L43" s="46"/>
      <c r="M43" s="46" t="str">
        <f t="shared" si="47"/>
        <v/>
      </c>
      <c r="N43" s="301"/>
      <c r="O43" s="171">
        <f t="shared" si="3"/>
        <v>1675.1315081940436</v>
      </c>
      <c r="P43" s="172">
        <f t="shared" si="43"/>
        <v>51924.65754097022</v>
      </c>
      <c r="Q43" s="128">
        <f t="shared" si="4"/>
        <v>51924.65754097022</v>
      </c>
      <c r="R43" s="128">
        <f t="shared" si="48"/>
        <v>0</v>
      </c>
      <c r="S43" s="195" t="str">
        <f t="shared" si="12"/>
        <v/>
      </c>
      <c r="T43" s="128"/>
      <c r="U43" s="128"/>
      <c r="V43" s="129" t="str">
        <f t="shared" si="44"/>
        <v/>
      </c>
      <c r="W43" s="129" t="str">
        <f t="shared" si="45"/>
        <v/>
      </c>
      <c r="X43" s="171">
        <f t="shared" si="49"/>
        <v>0</v>
      </c>
      <c r="Y43" s="171">
        <f t="shared" si="49"/>
        <v>0</v>
      </c>
      <c r="Z43" s="171">
        <f t="shared" si="49"/>
        <v>0</v>
      </c>
      <c r="AA43" s="186">
        <f t="shared" si="8"/>
        <v>0</v>
      </c>
      <c r="AB43" s="173">
        <f t="shared" si="13"/>
        <v>0</v>
      </c>
      <c r="AC43" s="79"/>
      <c r="AD43" s="76"/>
      <c r="AE43" s="76"/>
      <c r="AF43" s="76"/>
      <c r="AG43" s="76"/>
      <c r="AH43" s="76"/>
    </row>
    <row r="44" spans="1:34">
      <c r="A44" s="1"/>
      <c r="B44" s="4">
        <f t="shared" si="41"/>
        <v>45442</v>
      </c>
      <c r="C44" s="29">
        <f t="shared" si="46"/>
        <v>45442</v>
      </c>
      <c r="D44" s="6">
        <f t="shared" ca="1" si="1"/>
        <v>-151</v>
      </c>
      <c r="E44" s="90" t="str">
        <f>IF(B44=0,"","Thursday")</f>
        <v>Thursday</v>
      </c>
      <c r="F44" s="45"/>
      <c r="G44" s="46"/>
      <c r="H44" s="46"/>
      <c r="I44" s="151"/>
      <c r="J44" s="46"/>
      <c r="K44" s="152" t="str">
        <f t="shared" si="42"/>
        <v/>
      </c>
      <c r="L44" s="46"/>
      <c r="M44" s="46" t="str">
        <f t="shared" si="47"/>
        <v/>
      </c>
      <c r="N44" s="301"/>
      <c r="O44" s="171">
        <f t="shared" si="3"/>
        <v>1675.1315081940436</v>
      </c>
      <c r="P44" s="172">
        <f t="shared" si="43"/>
        <v>51924.65754097022</v>
      </c>
      <c r="Q44" s="128">
        <f t="shared" si="4"/>
        <v>51924.65754097022</v>
      </c>
      <c r="R44" s="128">
        <f t="shared" si="48"/>
        <v>0</v>
      </c>
      <c r="S44" s="195" t="str">
        <f t="shared" si="12"/>
        <v/>
      </c>
      <c r="T44" s="128"/>
      <c r="U44" s="128"/>
      <c r="V44" s="129" t="str">
        <f t="shared" si="44"/>
        <v/>
      </c>
      <c r="W44" s="129" t="str">
        <f t="shared" si="45"/>
        <v/>
      </c>
      <c r="X44" s="171">
        <f t="shared" si="49"/>
        <v>0</v>
      </c>
      <c r="Y44" s="171">
        <f t="shared" si="49"/>
        <v>0</v>
      </c>
      <c r="Z44" s="171">
        <f t="shared" si="49"/>
        <v>0</v>
      </c>
      <c r="AA44" s="186">
        <f t="shared" si="8"/>
        <v>0</v>
      </c>
      <c r="AB44" s="173">
        <f t="shared" si="13"/>
        <v>0</v>
      </c>
      <c r="AC44" s="131"/>
      <c r="AD44" s="130"/>
      <c r="AE44" s="76"/>
      <c r="AF44" s="76"/>
      <c r="AG44" s="76"/>
      <c r="AH44" s="76"/>
    </row>
    <row r="45" spans="1:34">
      <c r="A45" s="1"/>
      <c r="B45" s="4">
        <f t="shared" si="41"/>
        <v>45443</v>
      </c>
      <c r="C45" s="29">
        <f t="shared" si="46"/>
        <v>45443</v>
      </c>
      <c r="D45" s="6">
        <f t="shared" ca="1" si="1"/>
        <v>-152</v>
      </c>
      <c r="E45" s="90" t="str">
        <f>IF(B45=0,"","Friday")</f>
        <v>Friday</v>
      </c>
      <c r="F45" s="45"/>
      <c r="G45" s="46"/>
      <c r="H45" s="46"/>
      <c r="I45" s="151"/>
      <c r="J45" s="46"/>
      <c r="K45" s="152" t="str">
        <f t="shared" si="42"/>
        <v/>
      </c>
      <c r="L45" s="46"/>
      <c r="M45" s="46" t="str">
        <f t="shared" si="47"/>
        <v/>
      </c>
      <c r="N45" s="301"/>
      <c r="O45" s="171">
        <f t="shared" si="3"/>
        <v>1675.1315081940436</v>
      </c>
      <c r="P45" s="172">
        <f t="shared" si="43"/>
        <v>51924.65754097022</v>
      </c>
      <c r="Q45" s="128">
        <f t="shared" si="4"/>
        <v>51924.65754097022</v>
      </c>
      <c r="R45" s="128">
        <f t="shared" si="48"/>
        <v>0</v>
      </c>
      <c r="S45" s="195" t="str">
        <f t="shared" si="12"/>
        <v/>
      </c>
      <c r="T45" s="128"/>
      <c r="U45" s="128"/>
      <c r="V45" s="129" t="str">
        <f t="shared" si="44"/>
        <v/>
      </c>
      <c r="W45" s="129" t="str">
        <f t="shared" si="45"/>
        <v/>
      </c>
      <c r="X45" s="171">
        <f t="shared" si="49"/>
        <v>0</v>
      </c>
      <c r="Y45" s="171">
        <f t="shared" si="49"/>
        <v>0</v>
      </c>
      <c r="Z45" s="171">
        <f t="shared" si="49"/>
        <v>0</v>
      </c>
      <c r="AA45" s="186">
        <f t="shared" si="8"/>
        <v>0</v>
      </c>
      <c r="AB45" s="173">
        <f t="shared" si="13"/>
        <v>0</v>
      </c>
      <c r="AC45" s="79"/>
      <c r="AD45" s="76"/>
      <c r="AE45" s="76"/>
      <c r="AF45" s="76"/>
      <c r="AG45" s="76"/>
      <c r="AH45" s="76"/>
    </row>
    <row r="46" spans="1:34">
      <c r="A46" s="1"/>
      <c r="B46" s="4">
        <f t="shared" si="41"/>
        <v>0</v>
      </c>
      <c r="C46" s="29">
        <f t="shared" si="46"/>
        <v>45444</v>
      </c>
      <c r="D46" s="6">
        <f t="shared" ca="1" si="1"/>
        <v>-153</v>
      </c>
      <c r="E46" s="90" t="str">
        <f>IF(B46=0,"","Saturday")</f>
        <v/>
      </c>
      <c r="F46" s="45"/>
      <c r="G46" s="46"/>
      <c r="H46" s="46"/>
      <c r="I46" s="151"/>
      <c r="J46" s="46"/>
      <c r="K46" s="152" t="str">
        <f t="shared" si="42"/>
        <v/>
      </c>
      <c r="L46" s="46"/>
      <c r="M46" s="46" t="str">
        <f t="shared" si="47"/>
        <v/>
      </c>
      <c r="N46" s="301"/>
      <c r="O46" s="171" t="str">
        <f t="shared" si="3"/>
        <v/>
      </c>
      <c r="P46" s="172">
        <f t="shared" si="43"/>
        <v>51924.65754097022</v>
      </c>
      <c r="Q46" s="128">
        <f t="shared" si="4"/>
        <v>51924.65754097022</v>
      </c>
      <c r="R46" s="128">
        <f t="shared" si="48"/>
        <v>0</v>
      </c>
      <c r="S46" s="195" t="str">
        <f t="shared" si="12"/>
        <v/>
      </c>
      <c r="T46" s="128"/>
      <c r="U46" s="128"/>
      <c r="V46" s="129" t="str">
        <f t="shared" si="44"/>
        <v/>
      </c>
      <c r="W46" s="129" t="str">
        <f t="shared" si="45"/>
        <v/>
      </c>
      <c r="X46" s="171">
        <f t="shared" si="49"/>
        <v>0</v>
      </c>
      <c r="Y46" s="171">
        <f t="shared" si="49"/>
        <v>0</v>
      </c>
      <c r="Z46" s="171">
        <f t="shared" si="49"/>
        <v>0</v>
      </c>
      <c r="AA46" s="186">
        <f t="shared" si="8"/>
        <v>0</v>
      </c>
      <c r="AB46" s="173">
        <f t="shared" si="13"/>
        <v>0</v>
      </c>
      <c r="AC46" s="79"/>
      <c r="AD46" s="76"/>
      <c r="AE46" s="76"/>
      <c r="AF46" s="76"/>
      <c r="AG46" s="76"/>
      <c r="AH46" s="76"/>
    </row>
    <row r="47" spans="1:34" ht="17" thickBot="1">
      <c r="A47" s="1"/>
      <c r="B47" s="43">
        <f t="shared" si="41"/>
        <v>0</v>
      </c>
      <c r="C47" s="32">
        <f t="shared" si="46"/>
        <v>45445</v>
      </c>
      <c r="D47" s="44">
        <f t="shared" ca="1" si="1"/>
        <v>-154</v>
      </c>
      <c r="E47" s="93" t="str">
        <f>IF(B47=0,"","Sunday")</f>
        <v/>
      </c>
      <c r="F47" s="45"/>
      <c r="G47" s="46"/>
      <c r="H47" s="46"/>
      <c r="I47" s="151"/>
      <c r="J47" s="46"/>
      <c r="K47" s="152" t="str">
        <f t="shared" si="42"/>
        <v/>
      </c>
      <c r="L47" s="46"/>
      <c r="M47" s="46" t="str">
        <f t="shared" si="47"/>
        <v/>
      </c>
      <c r="N47" s="302"/>
      <c r="O47" s="171" t="str">
        <f t="shared" si="3"/>
        <v/>
      </c>
      <c r="P47" s="172">
        <f t="shared" si="43"/>
        <v>51924.65754097022</v>
      </c>
      <c r="Q47" s="128">
        <f t="shared" si="4"/>
        <v>51924.65754097022</v>
      </c>
      <c r="R47" s="128">
        <f t="shared" si="48"/>
        <v>0</v>
      </c>
      <c r="S47" s="195" t="str">
        <f t="shared" si="12"/>
        <v/>
      </c>
      <c r="T47" s="128"/>
      <c r="U47" s="128"/>
      <c r="V47" s="129" t="str">
        <f t="shared" si="44"/>
        <v/>
      </c>
      <c r="W47" s="129" t="str">
        <f t="shared" si="45"/>
        <v/>
      </c>
      <c r="X47" s="171">
        <f t="shared" si="49"/>
        <v>0</v>
      </c>
      <c r="Y47" s="171">
        <f t="shared" si="49"/>
        <v>0</v>
      </c>
      <c r="Z47" s="171">
        <f t="shared" si="49"/>
        <v>0</v>
      </c>
      <c r="AA47" s="186">
        <f t="shared" si="8"/>
        <v>0</v>
      </c>
      <c r="AB47" s="173">
        <f t="shared" si="13"/>
        <v>0</v>
      </c>
      <c r="AC47" s="79"/>
      <c r="AD47" s="76"/>
      <c r="AE47" s="76"/>
      <c r="AF47" s="76"/>
      <c r="AG47" s="76"/>
      <c r="AH47" s="76"/>
    </row>
    <row r="48" spans="1:34" ht="17" customHeight="1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71" t="str">
        <f t="shared" si="3"/>
        <v/>
      </c>
      <c r="P48" s="79"/>
      <c r="Q48" s="128">
        <f t="shared" si="4"/>
        <v>0</v>
      </c>
      <c r="R48" s="188"/>
      <c r="S48" s="195" t="str">
        <f t="shared" si="12"/>
        <v/>
      </c>
      <c r="T48" s="188"/>
      <c r="U48" s="188"/>
      <c r="V48" s="188"/>
      <c r="W48" s="188"/>
      <c r="X48" s="171"/>
      <c r="Y48" s="171" t="str">
        <f>IF(A48=0,"",G48+Y36)</f>
        <v/>
      </c>
      <c r="Z48" s="171" t="str">
        <f>IF(B48=0,"",H48+Z36)</f>
        <v/>
      </c>
      <c r="AA48" s="186"/>
      <c r="AB48" s="173">
        <f t="shared" si="13"/>
        <v>0</v>
      </c>
      <c r="AC48" s="79"/>
      <c r="AD48" s="76"/>
      <c r="AE48" s="76"/>
      <c r="AF48" s="76"/>
      <c r="AG48" s="76"/>
      <c r="AH48" s="76"/>
    </row>
    <row r="49" spans="1:34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5.2039740593250974</v>
      </c>
      <c r="G49" s="53">
        <f>H49*1.0936113</f>
        <v>9158.9946375</v>
      </c>
      <c r="H49" s="5">
        <f>INT(SUM($O41:$O47))</f>
        <v>8375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71" t="str">
        <f t="shared" si="3"/>
        <v/>
      </c>
      <c r="P49" s="95"/>
      <c r="Q49" s="128">
        <f t="shared" si="4"/>
        <v>0</v>
      </c>
      <c r="R49" s="189"/>
      <c r="S49" s="195" t="str">
        <f t="shared" si="12"/>
        <v/>
      </c>
      <c r="T49" s="189"/>
      <c r="U49" s="189"/>
      <c r="V49" s="189"/>
      <c r="W49" s="189"/>
      <c r="X49" s="171"/>
      <c r="Y49" s="171" t="str">
        <f>IF(A49=0,"",G49+Y37)</f>
        <v/>
      </c>
      <c r="Z49" s="171" t="str">
        <f>IF(B49=0,"",H49+Z37)</f>
        <v/>
      </c>
      <c r="AA49" s="186"/>
      <c r="AB49" s="173">
        <f t="shared" si="13"/>
        <v>0</v>
      </c>
      <c r="AC49" s="95"/>
      <c r="AD49" s="77"/>
      <c r="AE49" s="77"/>
      <c r="AF49" s="76"/>
      <c r="AG49" s="76"/>
      <c r="AH49" s="76"/>
    </row>
    <row r="50" spans="1:34" ht="17" thickTop="1">
      <c r="A50" s="1"/>
      <c r="B50" s="47">
        <f>IF(B$3&lt;C50,0,C50)</f>
        <v>0</v>
      </c>
      <c r="C50" s="31">
        <f>C47+1</f>
        <v>45446</v>
      </c>
      <c r="D50" s="18">
        <f t="shared" ca="1" si="1"/>
        <v>-155</v>
      </c>
      <c r="E50" s="94" t="str">
        <f>IF(B50=0,"","Monday")</f>
        <v/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71" t="str">
        <f t="shared" si="3"/>
        <v/>
      </c>
      <c r="P50" s="172">
        <f>H$56</f>
        <v>51924.65754097022</v>
      </c>
      <c r="Q50" s="128">
        <f t="shared" si="4"/>
        <v>51924.65754097022</v>
      </c>
      <c r="R50" s="128">
        <f>IF(R$2=3,H50+G50/1.0936133+F50/0.0006213712,IF(R$2=2,H50*1.0936133+G50+F50/0.0005681818,IF(R$2=1,H50*0.0005681818*1.0936133+G50*0.0005681818+F50,"")))</f>
        <v>0</v>
      </c>
      <c r="S50" s="195" t="str">
        <f t="shared" si="12"/>
        <v/>
      </c>
      <c r="T50" s="128"/>
      <c r="U50" s="128"/>
      <c r="V50" s="129" t="str">
        <f>IF(L50="","",IF(R50=0,"",IF(B50=0,"",IF($R$2=3,R50/L50*60/1000,IF($R$2=2,R50/L50*60/1760,IF($R$2=1,R50/L50*60,""))))))</f>
        <v/>
      </c>
      <c r="W50" s="129" t="str">
        <f>IF(R50=0,"",IF(L50="","",V50*L50))</f>
        <v/>
      </c>
      <c r="X50" s="171">
        <f>F50+X47</f>
        <v>0</v>
      </c>
      <c r="Y50" s="171">
        <f>G50+Y47</f>
        <v>0</v>
      </c>
      <c r="Z50" s="171">
        <f>H50+Z47</f>
        <v>0</v>
      </c>
      <c r="AA50" s="186">
        <f t="shared" si="8"/>
        <v>0</v>
      </c>
      <c r="AB50" s="173">
        <f t="shared" si="13"/>
        <v>0</v>
      </c>
      <c r="AC50" s="79"/>
      <c r="AD50" s="76"/>
      <c r="AE50" s="76"/>
      <c r="AF50" s="76"/>
      <c r="AG50" s="76"/>
      <c r="AH50" s="76"/>
    </row>
    <row r="51" spans="1:34" ht="17" thickBot="1">
      <c r="A51" s="1"/>
      <c r="B51" s="4">
        <f>IF(B$3&lt;C51,0,C51)</f>
        <v>0</v>
      </c>
      <c r="C51" s="29">
        <f>C50+1</f>
        <v>45447</v>
      </c>
      <c r="D51" s="6">
        <f t="shared" ca="1" si="1"/>
        <v>-156</v>
      </c>
      <c r="E51" s="90" t="str">
        <f>IF(B51=0,"","Tuesday")</f>
        <v/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71" t="str">
        <f t="shared" si="3"/>
        <v/>
      </c>
      <c r="P51" s="172">
        <f>H$56</f>
        <v>51924.65754097022</v>
      </c>
      <c r="Q51" s="128">
        <f t="shared" si="4"/>
        <v>51924.65754097022</v>
      </c>
      <c r="R51" s="128">
        <f>IF(R$2=3,H51+G51/1.0936133+F51/0.0006213712,IF(R$2=2,H51*1.0936133+G51+F51/0.0005681818,IF(R$2=1,H51*0.0005681818*1.0936133+G51*0.0005681818+F51,"")))</f>
        <v>0</v>
      </c>
      <c r="S51" s="195" t="str">
        <f t="shared" si="12"/>
        <v/>
      </c>
      <c r="T51" s="128"/>
      <c r="U51" s="128"/>
      <c r="V51" s="129" t="str">
        <f>IF(L51="","",IF(R51=0,"",IF(B51=0,"",IF($R$2=3,R51/L51*60/1000,IF($R$2=2,R51/L51*60/1760,IF($R$2=1,R51/L51*60,""))))))</f>
        <v/>
      </c>
      <c r="W51" s="129" t="str">
        <f>IF(R51=0,"",IF(L51="","",V51*L51))</f>
        <v/>
      </c>
      <c r="X51" s="171">
        <f>F51+X50</f>
        <v>0</v>
      </c>
      <c r="Y51" s="171">
        <f>G51+Y50</f>
        <v>0</v>
      </c>
      <c r="Z51" s="171">
        <f>H51+Z50</f>
        <v>0</v>
      </c>
      <c r="AA51" s="186">
        <f t="shared" si="8"/>
        <v>0</v>
      </c>
      <c r="AB51" s="173">
        <f t="shared" si="13"/>
        <v>0</v>
      </c>
      <c r="AC51" s="79"/>
      <c r="AD51" s="76"/>
      <c r="AE51" s="76"/>
      <c r="AF51" s="76"/>
      <c r="AG51" s="76"/>
      <c r="AH51" s="76"/>
    </row>
    <row r="52" spans="1:34" ht="18" thickTop="1" thickBot="1">
      <c r="A52" s="25"/>
      <c r="B52" s="12"/>
      <c r="C52" s="33"/>
      <c r="D52" s="50"/>
      <c r="E52" s="89" t="s">
        <v>65</v>
      </c>
      <c r="F52" s="49">
        <f ca="1">G52*0.000568181818</f>
        <v>-6.2137005661934355E-59</v>
      </c>
      <c r="G52" s="15">
        <f ca="1">H52*1.0936113</f>
        <v>-1.0936113000000001E-55</v>
      </c>
      <c r="H52" s="102">
        <f ca="1">IF(SUM(B50:B51)=0,-1E-55,IF(TODAY()&gt;=B50,(AA51-AA47)*1000,-2E-55))</f>
        <v>-9.9999999999999999E-56</v>
      </c>
      <c r="I52" s="250"/>
      <c r="J52" s="495" t="s">
        <v>93</v>
      </c>
      <c r="K52" s="496"/>
      <c r="L52" s="496"/>
      <c r="M52" s="253"/>
      <c r="N52" s="254" t="str">
        <f>IF(R$2=1,"Distance (miles)",IF(R$2=2,"Distance (yds)",IF(R$2=3,"Distance (km)","????")))</f>
        <v>Distance (km)</v>
      </c>
      <c r="O52" s="171"/>
      <c r="P52" s="95" t="s">
        <v>1</v>
      </c>
      <c r="Q52" s="95" t="s">
        <v>2</v>
      </c>
      <c r="R52" s="95" t="s">
        <v>3</v>
      </c>
      <c r="S52" s="95" t="s">
        <v>4</v>
      </c>
      <c r="T52" s="95" t="s">
        <v>5</v>
      </c>
      <c r="U52" s="95" t="s">
        <v>6</v>
      </c>
      <c r="V52" s="95" t="s">
        <v>7</v>
      </c>
      <c r="W52" s="171"/>
      <c r="X52" s="171"/>
      <c r="Y52" s="171"/>
      <c r="Z52" s="186"/>
      <c r="AA52" s="173"/>
      <c r="AB52" s="79"/>
      <c r="AC52" s="79"/>
      <c r="AD52" s="76"/>
      <c r="AE52" s="76"/>
      <c r="AF52" s="76"/>
      <c r="AG52" s="76"/>
      <c r="AH52" s="76"/>
    </row>
    <row r="53" spans="1:34" ht="17" thickBot="1">
      <c r="A53" s="24"/>
      <c r="B53" s="13"/>
      <c r="C53" s="30"/>
      <c r="D53" s="51"/>
      <c r="E53" s="92" t="s">
        <v>27</v>
      </c>
      <c r="F53" s="52">
        <f>G53*0.0005681818</f>
        <v>-6.2137003693434006E-59</v>
      </c>
      <c r="G53" s="53">
        <f>H53*1.0936113</f>
        <v>-1.0936113000000001E-55</v>
      </c>
      <c r="H53" s="104">
        <f>IF(SUM($O50:$O51)=0,-1E-55,SUM($O50:$O51))</f>
        <v>-9.9999999999999999E-56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190" t="s">
        <v>48</v>
      </c>
      <c r="P53" s="95">
        <f t="shared" ref="P53:V53" si="50">COUNTIFS($E$5:$E$51,P52)</f>
        <v>4</v>
      </c>
      <c r="Q53" s="95">
        <f t="shared" si="50"/>
        <v>4</v>
      </c>
      <c r="R53" s="95">
        <f t="shared" si="50"/>
        <v>5</v>
      </c>
      <c r="S53" s="95">
        <f t="shared" si="50"/>
        <v>5</v>
      </c>
      <c r="T53" s="95">
        <f t="shared" si="50"/>
        <v>5</v>
      </c>
      <c r="U53" s="95">
        <f t="shared" si="50"/>
        <v>4</v>
      </c>
      <c r="V53" s="95">
        <f t="shared" si="50"/>
        <v>4</v>
      </c>
      <c r="W53" s="171"/>
      <c r="X53" s="171"/>
      <c r="Y53" s="171"/>
      <c r="Z53" s="186"/>
      <c r="AA53" s="173"/>
      <c r="AB53" s="79"/>
      <c r="AC53" s="131"/>
      <c r="AD53" s="130"/>
      <c r="AE53" s="76"/>
      <c r="AF53" s="76"/>
      <c r="AG53" s="76"/>
      <c r="AH53" s="76"/>
    </row>
    <row r="54" spans="1:34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1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190" t="s">
        <v>47</v>
      </c>
      <c r="P54" s="95">
        <f t="shared" ref="P54:V54" ca="1" si="52">COUNTIFS($D$5:$D$51,"&gt;-1",$E$5:$E$51,P52)</f>
        <v>0</v>
      </c>
      <c r="Q54" s="95">
        <f t="shared" ca="1" si="52"/>
        <v>0</v>
      </c>
      <c r="R54" s="95">
        <f t="shared" ca="1" si="52"/>
        <v>0</v>
      </c>
      <c r="S54" s="95">
        <f t="shared" ca="1" si="52"/>
        <v>0</v>
      </c>
      <c r="T54" s="95">
        <f t="shared" ca="1" si="52"/>
        <v>0</v>
      </c>
      <c r="U54" s="95">
        <f t="shared" ca="1" si="52"/>
        <v>0</v>
      </c>
      <c r="V54" s="95">
        <f t="shared" ca="1" si="52"/>
        <v>0</v>
      </c>
      <c r="W54" s="171"/>
      <c r="X54" s="171"/>
      <c r="Y54" s="171"/>
      <c r="Z54" s="186"/>
      <c r="AA54" s="173"/>
      <c r="AB54" s="79"/>
      <c r="AC54" s="79"/>
      <c r="AD54" s="76"/>
      <c r="AE54" s="76"/>
      <c r="AF54" s="76"/>
      <c r="AG54" s="76"/>
      <c r="AH54" s="76"/>
    </row>
    <row r="55" spans="1:34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1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190" t="s">
        <v>66</v>
      </c>
      <c r="P55" s="95">
        <f t="shared" ref="P55:V55" si="53">COUNTIFS($E$5:$E$51,P52,$R$5:$R$51,"&gt;0")</f>
        <v>0</v>
      </c>
      <c r="Q55" s="95">
        <f t="shared" si="53"/>
        <v>0</v>
      </c>
      <c r="R55" s="95">
        <f t="shared" si="53"/>
        <v>0</v>
      </c>
      <c r="S55" s="95">
        <f t="shared" si="53"/>
        <v>0</v>
      </c>
      <c r="T55" s="95">
        <f t="shared" si="53"/>
        <v>0</v>
      </c>
      <c r="U55" s="95">
        <f t="shared" si="53"/>
        <v>0</v>
      </c>
      <c r="V55" s="95">
        <f t="shared" si="53"/>
        <v>0</v>
      </c>
      <c r="W55" s="171"/>
      <c r="X55" s="171"/>
      <c r="Y55" s="171"/>
      <c r="Z55" s="186"/>
      <c r="AA55" s="173"/>
      <c r="AB55" s="79"/>
      <c r="AC55" s="79"/>
      <c r="AD55" s="76"/>
      <c r="AE55" s="76"/>
      <c r="AF55" s="76"/>
      <c r="AG55" s="76"/>
      <c r="AH55" s="76"/>
    </row>
    <row r="56" spans="1:34" ht="17" thickBot="1">
      <c r="A56" s="27"/>
      <c r="B56" s="35"/>
      <c r="C56" s="35"/>
      <c r="D56" s="35"/>
      <c r="E56" s="17" t="s">
        <v>41</v>
      </c>
      <c r="F56" s="37">
        <f>G56*0.000568181818</f>
        <v>32.264427396172685</v>
      </c>
      <c r="G56" s="38">
        <f>H56*1.0936113</f>
        <v>56785.392235435247</v>
      </c>
      <c r="H56" s="106">
        <f>SUM(H$53,H40,H31,H22,H49,H13)-1</f>
        <v>51924.65754097022</v>
      </c>
      <c r="I56" s="252"/>
      <c r="J56" s="257" t="str">
        <f>'MY STATS'!AI47</f>
        <v/>
      </c>
      <c r="K56" s="126" t="str">
        <f t="shared" si="51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190" t="s">
        <v>106</v>
      </c>
      <c r="P56" s="95"/>
      <c r="Q56" s="95"/>
      <c r="R56" s="95"/>
      <c r="S56" s="95"/>
      <c r="T56" s="95"/>
      <c r="U56" s="95"/>
      <c r="V56" s="95"/>
      <c r="W56" s="171"/>
      <c r="X56" s="171"/>
      <c r="Y56" s="171"/>
      <c r="Z56" s="186"/>
      <c r="AA56" s="173"/>
      <c r="AB56" s="79"/>
      <c r="AC56" s="79"/>
      <c r="AD56" s="76"/>
      <c r="AE56" s="76"/>
      <c r="AF56" s="276"/>
      <c r="AG56" s="76"/>
      <c r="AH56" s="76"/>
    </row>
    <row r="57" spans="1:34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190" t="s">
        <v>97</v>
      </c>
      <c r="P57" s="172">
        <f t="shared" ref="P57:V57" si="54">SUMIF($E$5:$E$51,P52,$S$5:$S$51)</f>
        <v>0</v>
      </c>
      <c r="Q57" s="172">
        <f t="shared" si="54"/>
        <v>0</v>
      </c>
      <c r="R57" s="172">
        <f t="shared" si="54"/>
        <v>0</v>
      </c>
      <c r="S57" s="172">
        <f t="shared" si="54"/>
        <v>0</v>
      </c>
      <c r="T57" s="172">
        <f t="shared" si="54"/>
        <v>0</v>
      </c>
      <c r="U57" s="172">
        <f t="shared" si="54"/>
        <v>0</v>
      </c>
      <c r="V57" s="172">
        <f t="shared" si="54"/>
        <v>0</v>
      </c>
      <c r="W57" s="79"/>
      <c r="X57" s="79"/>
      <c r="Y57" s="79"/>
      <c r="Z57" s="95"/>
      <c r="AA57" s="79"/>
      <c r="AB57" s="79"/>
      <c r="AC57" s="79"/>
      <c r="AD57" s="76"/>
      <c r="AE57" s="76"/>
      <c r="AF57" s="76"/>
      <c r="AG57" s="76"/>
      <c r="AH57" s="76"/>
    </row>
    <row r="58" spans="1:34" ht="18" thickTop="1" thickBot="1">
      <c r="A58" s="63">
        <f>A1</f>
        <v>5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190" t="s">
        <v>98</v>
      </c>
      <c r="P58" s="191">
        <f>IF(COUNTIFS($E$5:$E$51,P52,$L$5:$L$51,"&gt;0")=0,0,(SUMIF($E$5:$E$51,P52,$L$5:$L$51)+IF(SUMIF($E$5:$E$51,P52,$R$5:$R$51)=0,-SUMIF($E$5:$E$51,P52,$L$5:$L$51)))/60)</f>
        <v>0</v>
      </c>
      <c r="Q58" s="191">
        <f t="shared" ref="Q58:V58" si="55">IF(COUNTIFS($E$5:$E$51,Q52,$L$5:$L$51,"&gt;0")=0,0,(SUMIF($E$5:$E$51,Q52,$L$5:$L$51)+IF(SUMIF($E$5:$E$51,Q52,$R$5:$R$51)=0,-SUMIF($E$5:$E$51,Q52,$L$5:$L$51)))/60)</f>
        <v>0</v>
      </c>
      <c r="R58" s="191">
        <f t="shared" si="55"/>
        <v>0</v>
      </c>
      <c r="S58" s="191">
        <f t="shared" si="55"/>
        <v>0</v>
      </c>
      <c r="T58" s="191">
        <f t="shared" si="55"/>
        <v>0</v>
      </c>
      <c r="U58" s="191">
        <f t="shared" si="55"/>
        <v>0</v>
      </c>
      <c r="V58" s="191">
        <f t="shared" si="55"/>
        <v>0</v>
      </c>
      <c r="W58" s="79"/>
      <c r="X58" s="79"/>
      <c r="Y58" s="79"/>
      <c r="Z58" s="95"/>
      <c r="AA58" s="79"/>
      <c r="AB58" s="79"/>
      <c r="AC58" s="79"/>
      <c r="AD58" s="76"/>
      <c r="AE58" s="76"/>
      <c r="AF58" s="76"/>
      <c r="AG58" s="76"/>
      <c r="AH58" s="76"/>
    </row>
    <row r="59" spans="1:34" ht="18" thickTop="1" thickBot="1">
      <c r="A59" s="66">
        <f>A1</f>
        <v>5</v>
      </c>
      <c r="B59" s="67"/>
      <c r="C59" s="68"/>
      <c r="D59" s="59"/>
      <c r="E59" s="60" t="s">
        <v>52</v>
      </c>
      <c r="F59" s="61">
        <f>G59*0.000568181818</f>
        <v>105.90144567134456</v>
      </c>
      <c r="G59" s="62">
        <f>H59*1.0936113</f>
        <v>186386.54444121011</v>
      </c>
      <c r="H59" s="107">
        <f>VLOOKUP($A$1,'MY STATS'!B$32:K$43,10)</f>
        <v>170432.16766433383</v>
      </c>
      <c r="I59" s="251"/>
      <c r="J59" s="261" t="s">
        <v>57</v>
      </c>
      <c r="K59" s="262" t="str">
        <f t="shared" si="51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190" t="s">
        <v>88</v>
      </c>
      <c r="P59" s="167">
        <f>IFERROR(IF('MY STATS'!$A16=1,P57/P58,IF('MY STATS'!$A16=2,P57/1760/P58,IF('MY STATS'!$A16=3,P57/1000/P58,0))),0)</f>
        <v>0</v>
      </c>
      <c r="Q59" s="167">
        <f>IFERROR(IF('MY STATS'!$A16=1,Q57/Q58,IF('MY STATS'!$A16=2,Q57/1760/Q58,IF('MY STATS'!$A16=3,Q57/1000/Q58,0))),0)</f>
        <v>0</v>
      </c>
      <c r="R59" s="167">
        <f>IFERROR(IF('MY STATS'!$A16=1,R57/R58,IF('MY STATS'!$A16=2,R57/1760/R58,IF('MY STATS'!$A16=3,R57/1000/R58,0))),0)</f>
        <v>0</v>
      </c>
      <c r="S59" s="167">
        <f>IFERROR(IF('MY STATS'!$A16=1,S57/S58,IF('MY STATS'!$A16=2,S57/1760/S58,IF('MY STATS'!$A16=3,S57/1000/S58,0))),0)</f>
        <v>0</v>
      </c>
      <c r="T59" s="167">
        <f>IFERROR(IF('MY STATS'!$A16=1,T57/T58,IF('MY STATS'!$A16=2,T57/1760/T58,IF('MY STATS'!$A16=3,T57/1000/T58,0))),0)</f>
        <v>0</v>
      </c>
      <c r="U59" s="167">
        <f>IFERROR(IF('MY STATS'!$A16=1,U57/U58,IF('MY STATS'!$A16=2,U57/1760/U58,IF('MY STATS'!$A16=3,U57/1000/U58,0))),0)</f>
        <v>0</v>
      </c>
      <c r="V59" s="167">
        <f>IFERROR(IF('MY STATS'!$A16=1,V57/V58,IF('MY STATS'!$A16=2,V57/1760/V58,IF('MY STATS'!$A16=3,V57/1000/V58,0))),0)</f>
        <v>0</v>
      </c>
      <c r="W59" s="79"/>
      <c r="X59" s="79"/>
      <c r="Y59" s="79"/>
      <c r="Z59" s="95"/>
      <c r="AA59" s="79"/>
      <c r="AB59" s="79"/>
      <c r="AC59" s="79"/>
      <c r="AD59" s="76"/>
      <c r="AE59" s="76"/>
      <c r="AF59" s="76"/>
      <c r="AG59" s="76"/>
      <c r="AH59" s="76"/>
    </row>
    <row r="60" spans="1:34" ht="17" thickTop="1"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95"/>
      <c r="AB60" s="79"/>
      <c r="AC60" s="79"/>
      <c r="AD60" s="76"/>
      <c r="AE60" s="76"/>
      <c r="AF60" s="76"/>
      <c r="AG60" s="76"/>
      <c r="AH60" s="76"/>
    </row>
    <row r="61" spans="1:34"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95"/>
      <c r="AB61" s="79"/>
      <c r="AC61" s="79"/>
      <c r="AD61" s="76"/>
      <c r="AE61" s="76"/>
      <c r="AF61" s="76"/>
      <c r="AG61" s="76"/>
    </row>
    <row r="62" spans="1:34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6"/>
      <c r="AC62" s="76"/>
      <c r="AD62" s="76"/>
      <c r="AE62" s="76"/>
      <c r="AF62" s="76"/>
      <c r="AG62" s="76"/>
    </row>
    <row r="63" spans="1:34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6"/>
      <c r="AC63" s="76"/>
      <c r="AD63" s="76"/>
      <c r="AE63" s="76"/>
      <c r="AF63" s="76"/>
      <c r="AG63" s="76"/>
    </row>
    <row r="64" spans="1:34">
      <c r="O64" s="76"/>
      <c r="P64" s="76"/>
      <c r="Q64" s="76"/>
      <c r="R64" s="76"/>
      <c r="S64" s="76"/>
      <c r="T64" s="76"/>
      <c r="U64" s="76"/>
      <c r="V64" s="76"/>
      <c r="W64" s="76"/>
      <c r="X64" s="77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5:30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6"/>
      <c r="AC65" s="76"/>
      <c r="AD65" s="76"/>
    </row>
    <row r="66" spans="15:30" customFormat="1"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7"/>
      <c r="AA66" s="76"/>
      <c r="AB66" s="76"/>
      <c r="AC66" s="76"/>
      <c r="AD66" s="76"/>
    </row>
    <row r="67" spans="15:30"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76"/>
      <c r="AC67" s="76"/>
      <c r="AD67" s="76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11315" priority="2755" stopIfTrue="1" operator="notBetween">
      <formula>$B$2</formula>
      <formula>$B$3</formula>
    </cfRule>
  </conditionalFormatting>
  <conditionalFormatting sqref="B14:B20 B23:B29 B49:B51 B40:B47 B53 B31:B38 D3 B5:B11">
    <cfRule type="cellIs" dxfId="11314" priority="2756" operator="greaterThan">
      <formula>$E$3</formula>
    </cfRule>
    <cfRule type="cellIs" dxfId="11313" priority="2757" operator="equal">
      <formula>$E$3</formula>
    </cfRule>
    <cfRule type="cellIs" dxfId="11312" priority="2758" operator="lessThan">
      <formula>$E$3</formula>
    </cfRule>
  </conditionalFormatting>
  <conditionalFormatting sqref="F58:H58 F55:H55">
    <cfRule type="expression" dxfId="11311" priority="2753">
      <formula>$F55&gt;=$F56</formula>
    </cfRule>
  </conditionalFormatting>
  <conditionalFormatting sqref="F5:H10 F14:G20 F23:G29 F38:H38 F41:H47 F11:G11 F32:G37">
    <cfRule type="cellIs" dxfId="11310" priority="2743" stopIfTrue="1" operator="lessThan">
      <formula>0</formula>
    </cfRule>
  </conditionalFormatting>
  <conditionalFormatting sqref="C32:C38 C41:C47 C50:C51 C14:C20 C23:C29 C5:C11">
    <cfRule type="cellIs" dxfId="11309" priority="2748" stopIfTrue="1" operator="notBetween">
      <formula>$B$2</formula>
      <formula>$B$3</formula>
    </cfRule>
  </conditionalFormatting>
  <conditionalFormatting sqref="C41:C47 C50:C51 C32:C38 C14:C20 C23:C29 C5:C11">
    <cfRule type="cellIs" dxfId="11308" priority="2749" operator="greaterThan">
      <formula>$E$3</formula>
    </cfRule>
    <cfRule type="cellIs" dxfId="11307" priority="2750" operator="equal">
      <formula>$E$3</formula>
    </cfRule>
    <cfRule type="cellIs" dxfId="11306" priority="2751" operator="lessThan">
      <formula>$E$3</formula>
    </cfRule>
  </conditionalFormatting>
  <conditionalFormatting sqref="F14:G20 F23:G29 F38:H38 F41:H47 F32:G37">
    <cfRule type="expression" dxfId="11305" priority="2747">
      <formula>$C14&lt;$E$3</formula>
    </cfRule>
  </conditionalFormatting>
  <conditionalFormatting sqref="F5:H10 F14:G20 F23:G29 F38:H38 F41:H47 F11:G11 F32:G37">
    <cfRule type="expression" dxfId="11304" priority="2744">
      <formula>$C5=$E$3</formula>
    </cfRule>
    <cfRule type="expression" dxfId="11303" priority="2745">
      <formula>$C5&lt;$E$3</formula>
    </cfRule>
    <cfRule type="cellIs" dxfId="11302" priority="2746" operator="equal">
      <formula>0</formula>
    </cfRule>
    <cfRule type="expression" dxfId="11301" priority="2752">
      <formula>$C5&gt;$E$3</formula>
    </cfRule>
  </conditionalFormatting>
  <conditionalFormatting sqref="F12:G12">
    <cfRule type="expression" dxfId="11300" priority="2742">
      <formula>$F12&gt;=$F13</formula>
    </cfRule>
  </conditionalFormatting>
  <conditionalFormatting sqref="F21:G21">
    <cfRule type="expression" dxfId="11299" priority="2741">
      <formula>$F21&gt;=$F22</formula>
    </cfRule>
  </conditionalFormatting>
  <conditionalFormatting sqref="F39:H39">
    <cfRule type="expression" dxfId="11298" priority="2740">
      <formula>$F39&gt;=$F40</formula>
    </cfRule>
  </conditionalFormatting>
  <conditionalFormatting sqref="F30:G30">
    <cfRule type="expression" dxfId="11297" priority="2739">
      <formula>$F30&gt;=$F31</formula>
    </cfRule>
  </conditionalFormatting>
  <conditionalFormatting sqref="F48:H48">
    <cfRule type="expression" dxfId="11296" priority="2737" stopIfTrue="1">
      <formula>$H$48=-1E-55</formula>
    </cfRule>
    <cfRule type="expression" dxfId="11295" priority="2738">
      <formula>$F48&gt;=$F49</formula>
    </cfRule>
  </conditionalFormatting>
  <conditionalFormatting sqref="F14:G20 F23:G29 F38:H38 F41:H47 F32:G37">
    <cfRule type="expression" dxfId="11294" priority="2736">
      <formula>$C14&lt;$E$3</formula>
    </cfRule>
  </conditionalFormatting>
  <conditionalFormatting sqref="F14:G20 F5:H10 F23:G29 F38:H38 F41:H47 F11:G11 F32:G37">
    <cfRule type="expression" dxfId="11293" priority="2732">
      <formula>$C5=$E$3</formula>
    </cfRule>
    <cfRule type="expression" dxfId="11292" priority="2733">
      <formula>$C5&lt;$E$3</formula>
    </cfRule>
    <cfRule type="cellIs" dxfId="11291" priority="2734" operator="equal">
      <formula>0</formula>
    </cfRule>
    <cfRule type="expression" dxfId="11290" priority="2735">
      <formula>$C5&gt;$E$3</formula>
    </cfRule>
  </conditionalFormatting>
  <conditionalFormatting sqref="F12:G12">
    <cfRule type="expression" dxfId="11289" priority="2731">
      <formula>$F12&gt;=$F13</formula>
    </cfRule>
  </conditionalFormatting>
  <conditionalFormatting sqref="F21:G21">
    <cfRule type="expression" dxfId="11288" priority="2730">
      <formula>$F21&gt;=$F22</formula>
    </cfRule>
  </conditionalFormatting>
  <conditionalFormatting sqref="F39:H39">
    <cfRule type="expression" dxfId="11287" priority="2729">
      <formula>$F39&gt;=$F40</formula>
    </cfRule>
  </conditionalFormatting>
  <conditionalFormatting sqref="F30:G30">
    <cfRule type="expression" dxfId="11286" priority="2728">
      <formula>$F30&gt;=$F31</formula>
    </cfRule>
  </conditionalFormatting>
  <conditionalFormatting sqref="F48:H48">
    <cfRule type="expression" dxfId="11285" priority="2726" stopIfTrue="1">
      <formula>$E$41=""</formula>
    </cfRule>
    <cfRule type="expression" dxfId="11284" priority="2727">
      <formula>$F48&gt;=$F49</formula>
    </cfRule>
  </conditionalFormatting>
  <conditionalFormatting sqref="F41:H47">
    <cfRule type="expression" dxfId="11283" priority="2725">
      <formula>$E41=""</formula>
    </cfRule>
  </conditionalFormatting>
  <conditionalFormatting sqref="F47:H47">
    <cfRule type="expression" dxfId="11282" priority="2724">
      <formula>$E$46=""</formula>
    </cfRule>
  </conditionalFormatting>
  <conditionalFormatting sqref="F45:H45">
    <cfRule type="expression" dxfId="11281" priority="2723">
      <formula>$E45=""</formula>
    </cfRule>
  </conditionalFormatting>
  <conditionalFormatting sqref="F5:H10 F11:G11">
    <cfRule type="expression" dxfId="11280" priority="2722">
      <formula>$C5&lt;$E$3</formula>
    </cfRule>
  </conditionalFormatting>
  <conditionalFormatting sqref="F5:H10 F11:G11">
    <cfRule type="expression" dxfId="11279" priority="2721">
      <formula>$E5=""</formula>
    </cfRule>
  </conditionalFormatting>
  <conditionalFormatting sqref="F5:H10 F11:G11">
    <cfRule type="expression" dxfId="11278" priority="2717">
      <formula>$C5=$E$3</formula>
    </cfRule>
    <cfRule type="expression" dxfId="11277" priority="2718">
      <formula>$C5&lt;$E$3</formula>
    </cfRule>
    <cfRule type="cellIs" dxfId="11276" priority="2719" operator="equal">
      <formula>0</formula>
    </cfRule>
    <cfRule type="expression" dxfId="11275" priority="2720">
      <formula>$C5&gt;$E$3</formula>
    </cfRule>
  </conditionalFormatting>
  <conditionalFormatting sqref="F5:H10 F11:G11">
    <cfRule type="expression" dxfId="11274" priority="2716">
      <formula>$C5&lt;$E$3</formula>
    </cfRule>
  </conditionalFormatting>
  <conditionalFormatting sqref="F5:H10 F11:G11">
    <cfRule type="expression" dxfId="11273" priority="2715">
      <formula>$E5=""</formula>
    </cfRule>
  </conditionalFormatting>
  <conditionalFormatting sqref="F14:G20">
    <cfRule type="expression" dxfId="11272" priority="2714">
      <formula>$C14&lt;$E$3</formula>
    </cfRule>
  </conditionalFormatting>
  <conditionalFormatting sqref="F14:G20">
    <cfRule type="expression" dxfId="11271" priority="2710">
      <formula>$C14=$E$3</formula>
    </cfRule>
    <cfRule type="expression" dxfId="11270" priority="2711">
      <formula>$C14&lt;$E$3</formula>
    </cfRule>
    <cfRule type="cellIs" dxfId="11269" priority="2712" operator="equal">
      <formula>0</formula>
    </cfRule>
    <cfRule type="expression" dxfId="11268" priority="2713">
      <formula>$C14&gt;$E$3</formula>
    </cfRule>
  </conditionalFormatting>
  <conditionalFormatting sqref="F5:H10 F11:G11">
    <cfRule type="expression" dxfId="11267" priority="2709">
      <formula>$C5&lt;$E$3</formula>
    </cfRule>
  </conditionalFormatting>
  <conditionalFormatting sqref="F5:H10 F11:G11">
    <cfRule type="expression" dxfId="11266" priority="2705">
      <formula>$C5=$E$3</formula>
    </cfRule>
    <cfRule type="expression" dxfId="11265" priority="2706">
      <formula>$C5&lt;$E$3</formula>
    </cfRule>
    <cfRule type="cellIs" dxfId="11264" priority="2707" operator="equal">
      <formula>0</formula>
    </cfRule>
    <cfRule type="expression" dxfId="11263" priority="2708">
      <formula>$C5&gt;$E$3</formula>
    </cfRule>
  </conditionalFormatting>
  <conditionalFormatting sqref="F5:H10 F11:G11">
    <cfRule type="expression" dxfId="11262" priority="2704">
      <formula>$E5=""</formula>
    </cfRule>
  </conditionalFormatting>
  <conditionalFormatting sqref="F5:H10 F11:G11">
    <cfRule type="expression" dxfId="11261" priority="2703">
      <formula>$C5&lt;$E$3</formula>
    </cfRule>
  </conditionalFormatting>
  <conditionalFormatting sqref="F5:H10 F11:G11">
    <cfRule type="expression" dxfId="11260" priority="2702">
      <formula>$E5=""</formula>
    </cfRule>
  </conditionalFormatting>
  <conditionalFormatting sqref="F5:H10 F11:G11">
    <cfRule type="expression" dxfId="11259" priority="2701">
      <formula>$E5=""</formula>
    </cfRule>
  </conditionalFormatting>
  <conditionalFormatting sqref="F5:H10 F11:G11">
    <cfRule type="expression" dxfId="11258" priority="2700">
      <formula>$C5&lt;$E$3</formula>
    </cfRule>
  </conditionalFormatting>
  <conditionalFormatting sqref="F5:H10 F11:G11">
    <cfRule type="expression" dxfId="11257" priority="2699">
      <formula>$E5=""</formula>
    </cfRule>
  </conditionalFormatting>
  <conditionalFormatting sqref="F5:H10 F11:G11">
    <cfRule type="expression" dxfId="11256" priority="2698">
      <formula>$C5&lt;$E$3</formula>
    </cfRule>
  </conditionalFormatting>
  <conditionalFormatting sqref="F5:H10 F11:G11">
    <cfRule type="expression" dxfId="11255" priority="2697">
      <formula>$E5=""</formula>
    </cfRule>
  </conditionalFormatting>
  <conditionalFormatting sqref="F5:H10 F11:G11">
    <cfRule type="expression" dxfId="11254" priority="2696">
      <formula>$C5&lt;$E$3</formula>
    </cfRule>
  </conditionalFormatting>
  <conditionalFormatting sqref="F5:H10 F11:G11">
    <cfRule type="expression" dxfId="11253" priority="2695">
      <formula>$E5=""</formula>
    </cfRule>
  </conditionalFormatting>
  <conditionalFormatting sqref="F14:G20">
    <cfRule type="expression" dxfId="11252" priority="2694">
      <formula>$C14&lt;$E$3</formula>
    </cfRule>
  </conditionalFormatting>
  <conditionalFormatting sqref="F14:G20">
    <cfRule type="expression" dxfId="11251" priority="2690">
      <formula>$C14=$E$3</formula>
    </cfRule>
    <cfRule type="expression" dxfId="11250" priority="2691">
      <formula>$C14&lt;$E$3</formula>
    </cfRule>
    <cfRule type="cellIs" dxfId="11249" priority="2692" operator="equal">
      <formula>0</formula>
    </cfRule>
    <cfRule type="expression" dxfId="11248" priority="2693">
      <formula>$C14&gt;$E$3</formula>
    </cfRule>
  </conditionalFormatting>
  <conditionalFormatting sqref="F14:G20">
    <cfRule type="expression" dxfId="11247" priority="2689">
      <formula>$E14=""</formula>
    </cfRule>
  </conditionalFormatting>
  <conditionalFormatting sqref="F14:G20">
    <cfRule type="expression" dxfId="11246" priority="2688">
      <formula>$C14&lt;$E$3</formula>
    </cfRule>
  </conditionalFormatting>
  <conditionalFormatting sqref="F14:G20">
    <cfRule type="expression" dxfId="11245" priority="2687">
      <formula>$E14=""</formula>
    </cfRule>
  </conditionalFormatting>
  <conditionalFormatting sqref="F14:G20">
    <cfRule type="expression" dxfId="11244" priority="2686">
      <formula>$E14=""</formula>
    </cfRule>
  </conditionalFormatting>
  <conditionalFormatting sqref="F14:G20">
    <cfRule type="expression" dxfId="11243" priority="2685">
      <formula>$C14&lt;$E$3</formula>
    </cfRule>
  </conditionalFormatting>
  <conditionalFormatting sqref="F14:G20">
    <cfRule type="expression" dxfId="11242" priority="2684">
      <formula>$E14=""</formula>
    </cfRule>
  </conditionalFormatting>
  <conditionalFormatting sqref="F14:G20">
    <cfRule type="expression" dxfId="11241" priority="2683">
      <formula>$C14&lt;$E$3</formula>
    </cfRule>
  </conditionalFormatting>
  <conditionalFormatting sqref="F14:G20">
    <cfRule type="expression" dxfId="11240" priority="2682">
      <formula>$E14=""</formula>
    </cfRule>
  </conditionalFormatting>
  <conditionalFormatting sqref="F14:G20">
    <cfRule type="expression" dxfId="11239" priority="2681">
      <formula>$C14&lt;$E$3</formula>
    </cfRule>
  </conditionalFormatting>
  <conditionalFormatting sqref="F14:G20">
    <cfRule type="expression" dxfId="11238" priority="2680">
      <formula>$E14=""</formula>
    </cfRule>
  </conditionalFormatting>
  <conditionalFormatting sqref="F23:G29">
    <cfRule type="expression" dxfId="11237" priority="2679">
      <formula>$C23&lt;$E$3</formula>
    </cfRule>
  </conditionalFormatting>
  <conditionalFormatting sqref="F23:G29">
    <cfRule type="expression" dxfId="11236" priority="2675">
      <formula>$C23=$E$3</formula>
    </cfRule>
    <cfRule type="expression" dxfId="11235" priority="2676">
      <formula>$C23&lt;$E$3</formula>
    </cfRule>
    <cfRule type="cellIs" dxfId="11234" priority="2677" operator="equal">
      <formula>0</formula>
    </cfRule>
    <cfRule type="expression" dxfId="11233" priority="2678">
      <formula>$C23&gt;$E$3</formula>
    </cfRule>
  </conditionalFormatting>
  <conditionalFormatting sqref="F23:G29">
    <cfRule type="expression" dxfId="11232" priority="2674">
      <formula>$C23&lt;$E$3</formula>
    </cfRule>
  </conditionalFormatting>
  <conditionalFormatting sqref="F23:G29">
    <cfRule type="expression" dxfId="11231" priority="2670">
      <formula>$C23=$E$3</formula>
    </cfRule>
    <cfRule type="expression" dxfId="11230" priority="2671">
      <formula>$C23&lt;$E$3</formula>
    </cfRule>
    <cfRule type="cellIs" dxfId="11229" priority="2672" operator="equal">
      <formula>0</formula>
    </cfRule>
    <cfRule type="expression" dxfId="11228" priority="2673">
      <formula>$C23&gt;$E$3</formula>
    </cfRule>
  </conditionalFormatting>
  <conditionalFormatting sqref="F23:G29">
    <cfRule type="expression" dxfId="11227" priority="2669">
      <formula>$E23=""</formula>
    </cfRule>
  </conditionalFormatting>
  <conditionalFormatting sqref="F23:G29">
    <cfRule type="expression" dxfId="11226" priority="2668">
      <formula>$C23&lt;$E$3</formula>
    </cfRule>
  </conditionalFormatting>
  <conditionalFormatting sqref="F23:G29">
    <cfRule type="expression" dxfId="11225" priority="2667">
      <formula>$E23=""</formula>
    </cfRule>
  </conditionalFormatting>
  <conditionalFormatting sqref="F23:G29">
    <cfRule type="expression" dxfId="11224" priority="2666">
      <formula>$E23=""</formula>
    </cfRule>
  </conditionalFormatting>
  <conditionalFormatting sqref="F23:G29">
    <cfRule type="expression" dxfId="11223" priority="2665">
      <formula>$C23&lt;$E$3</formula>
    </cfRule>
  </conditionalFormatting>
  <conditionalFormatting sqref="F23:G29">
    <cfRule type="expression" dxfId="11222" priority="2664">
      <formula>$E23=""</formula>
    </cfRule>
  </conditionalFormatting>
  <conditionalFormatting sqref="F23:G29">
    <cfRule type="expression" dxfId="11221" priority="2663">
      <formula>$C23&lt;$E$3</formula>
    </cfRule>
  </conditionalFormatting>
  <conditionalFormatting sqref="F23:G29">
    <cfRule type="expression" dxfId="11220" priority="2662">
      <formula>$E23=""</formula>
    </cfRule>
  </conditionalFormatting>
  <conditionalFormatting sqref="F23:G29">
    <cfRule type="expression" dxfId="11219" priority="2661">
      <formula>$C23&lt;$E$3</formula>
    </cfRule>
  </conditionalFormatting>
  <conditionalFormatting sqref="F23:G29">
    <cfRule type="expression" dxfId="11218" priority="2660">
      <formula>$E23=""</formula>
    </cfRule>
  </conditionalFormatting>
  <conditionalFormatting sqref="F38:H38 F32:G37">
    <cfRule type="expression" dxfId="11217" priority="2659">
      <formula>$C32&lt;$E$3</formula>
    </cfRule>
  </conditionalFormatting>
  <conditionalFormatting sqref="F38:H38 F32:G37">
    <cfRule type="expression" dxfId="11216" priority="2655">
      <formula>$C32=$E$3</formula>
    </cfRule>
    <cfRule type="expression" dxfId="11215" priority="2656">
      <formula>$C32&lt;$E$3</formula>
    </cfRule>
    <cfRule type="cellIs" dxfId="11214" priority="2657" operator="equal">
      <formula>0</formula>
    </cfRule>
    <cfRule type="expression" dxfId="11213" priority="2658">
      <formula>$C32&gt;$E$3</formula>
    </cfRule>
  </conditionalFormatting>
  <conditionalFormatting sqref="F38:H38 F32:G37">
    <cfRule type="expression" dxfId="11212" priority="2654">
      <formula>$C32&lt;$E$3</formula>
    </cfRule>
  </conditionalFormatting>
  <conditionalFormatting sqref="F38:H38 F32:G37">
    <cfRule type="expression" dxfId="11211" priority="2650">
      <formula>$C32=$E$3</formula>
    </cfRule>
    <cfRule type="expression" dxfId="11210" priority="2651">
      <formula>$C32&lt;$E$3</formula>
    </cfRule>
    <cfRule type="cellIs" dxfId="11209" priority="2652" operator="equal">
      <formula>0</formula>
    </cfRule>
    <cfRule type="expression" dxfId="11208" priority="2653">
      <formula>$C32&gt;$E$3</formula>
    </cfRule>
  </conditionalFormatting>
  <conditionalFormatting sqref="F38:H38 F32:G37">
    <cfRule type="expression" dxfId="11207" priority="2649">
      <formula>$E32=""</formula>
    </cfRule>
  </conditionalFormatting>
  <conditionalFormatting sqref="F38:H38 F32:G37">
    <cfRule type="expression" dxfId="11206" priority="2648">
      <formula>$C32&lt;$E$3</formula>
    </cfRule>
  </conditionalFormatting>
  <conditionalFormatting sqref="F38:H38 F32:G37">
    <cfRule type="expression" dxfId="11205" priority="2647">
      <formula>$E32=""</formula>
    </cfRule>
  </conditionalFormatting>
  <conditionalFormatting sqref="F38:H38 F32:G37">
    <cfRule type="expression" dxfId="11204" priority="2646">
      <formula>$E32=""</formula>
    </cfRule>
  </conditionalFormatting>
  <conditionalFormatting sqref="F38:H38 F32:G37">
    <cfRule type="expression" dxfId="11203" priority="2645">
      <formula>$C32&lt;$E$3</formula>
    </cfRule>
  </conditionalFormatting>
  <conditionalFormatting sqref="F38:H38 F32:G37">
    <cfRule type="expression" dxfId="11202" priority="2644">
      <formula>$E32=""</formula>
    </cfRule>
  </conditionalFormatting>
  <conditionalFormatting sqref="F38:H38 F32:G37">
    <cfRule type="expression" dxfId="11201" priority="2643">
      <formula>$C32&lt;$E$3</formula>
    </cfRule>
  </conditionalFormatting>
  <conditionalFormatting sqref="F38:H38 F32:G37">
    <cfRule type="expression" dxfId="11200" priority="2642">
      <formula>$E32=""</formula>
    </cfRule>
  </conditionalFormatting>
  <conditionalFormatting sqref="F38:H38 F32:G37">
    <cfRule type="expression" dxfId="11199" priority="2641">
      <formula>$C32&lt;$E$3</formula>
    </cfRule>
  </conditionalFormatting>
  <conditionalFormatting sqref="F38:H38 F32:G37">
    <cfRule type="expression" dxfId="11198" priority="2640">
      <formula>$E32=""</formula>
    </cfRule>
  </conditionalFormatting>
  <conditionalFormatting sqref="F41:H47">
    <cfRule type="expression" dxfId="11197" priority="2639">
      <formula>$C41&lt;$E$3</formula>
    </cfRule>
  </conditionalFormatting>
  <conditionalFormatting sqref="F41:H47">
    <cfRule type="expression" dxfId="11196" priority="2635">
      <formula>$C41=$E$3</formula>
    </cfRule>
    <cfRule type="expression" dxfId="11195" priority="2636">
      <formula>$C41&lt;$E$3</formula>
    </cfRule>
    <cfRule type="cellIs" dxfId="11194" priority="2637" operator="equal">
      <formula>0</formula>
    </cfRule>
    <cfRule type="expression" dxfId="11193" priority="2638">
      <formula>$C41&gt;$E$3</formula>
    </cfRule>
  </conditionalFormatting>
  <conditionalFormatting sqref="F41:H47">
    <cfRule type="expression" dxfId="11192" priority="2634">
      <formula>$C41&lt;$E$3</formula>
    </cfRule>
  </conditionalFormatting>
  <conditionalFormatting sqref="F41:H47">
    <cfRule type="expression" dxfId="11191" priority="2630">
      <formula>$C41=$E$3</formula>
    </cfRule>
    <cfRule type="expression" dxfId="11190" priority="2631">
      <formula>$C41&lt;$E$3</formula>
    </cfRule>
    <cfRule type="cellIs" dxfId="11189" priority="2632" operator="equal">
      <formula>0</formula>
    </cfRule>
    <cfRule type="expression" dxfId="11188" priority="2633">
      <formula>$C41&gt;$E$3</formula>
    </cfRule>
  </conditionalFormatting>
  <conditionalFormatting sqref="F41:H47">
    <cfRule type="expression" dxfId="11187" priority="2629">
      <formula>$E41=""</formula>
    </cfRule>
  </conditionalFormatting>
  <conditionalFormatting sqref="F41:H47">
    <cfRule type="expression" dxfId="11186" priority="2628">
      <formula>$C41&lt;$E$3</formula>
    </cfRule>
  </conditionalFormatting>
  <conditionalFormatting sqref="F41:H47">
    <cfRule type="expression" dxfId="11185" priority="2627">
      <formula>$E41=""</formula>
    </cfRule>
  </conditionalFormatting>
  <conditionalFormatting sqref="F41:H47">
    <cfRule type="expression" dxfId="11184" priority="2626">
      <formula>$E41=""</formula>
    </cfRule>
  </conditionalFormatting>
  <conditionalFormatting sqref="F41:H47">
    <cfRule type="expression" dxfId="11183" priority="2625">
      <formula>$C41&lt;$E$3</formula>
    </cfRule>
  </conditionalFormatting>
  <conditionalFormatting sqref="F41:H47">
    <cfRule type="expression" dxfId="11182" priority="2624">
      <formula>$E41=""</formula>
    </cfRule>
  </conditionalFormatting>
  <conditionalFormatting sqref="F41:H47">
    <cfRule type="expression" dxfId="11181" priority="2623">
      <formula>$C41&lt;$E$3</formula>
    </cfRule>
  </conditionalFormatting>
  <conditionalFormatting sqref="F41:H47">
    <cfRule type="expression" dxfId="11180" priority="2622">
      <formula>$E41=""</formula>
    </cfRule>
  </conditionalFormatting>
  <conditionalFormatting sqref="F41:H47">
    <cfRule type="expression" dxfId="11179" priority="2621">
      <formula>$C41&lt;$E$3</formula>
    </cfRule>
  </conditionalFormatting>
  <conditionalFormatting sqref="F41:H47">
    <cfRule type="expression" dxfId="11178" priority="2620">
      <formula>$E41=""</formula>
    </cfRule>
  </conditionalFormatting>
  <conditionalFormatting sqref="F50:H51">
    <cfRule type="cellIs" dxfId="11177" priority="2619" stopIfTrue="1" operator="lessThan">
      <formula>0</formula>
    </cfRule>
  </conditionalFormatting>
  <conditionalFormatting sqref="F50:H51">
    <cfRule type="expression" dxfId="11176" priority="2618">
      <formula>$C50&lt;$E$3</formula>
    </cfRule>
  </conditionalFormatting>
  <conditionalFormatting sqref="F50:H51">
    <cfRule type="expression" dxfId="11175" priority="2614">
      <formula>$C50=$E$3</formula>
    </cfRule>
    <cfRule type="expression" dxfId="11174" priority="2615">
      <formula>$C50&lt;$E$3</formula>
    </cfRule>
    <cfRule type="cellIs" dxfId="11173" priority="2616" operator="equal">
      <formula>0</formula>
    </cfRule>
    <cfRule type="expression" dxfId="11172" priority="2617">
      <formula>$C50&gt;$E$3</formula>
    </cfRule>
  </conditionalFormatting>
  <conditionalFormatting sqref="F50:H51">
    <cfRule type="expression" dxfId="11171" priority="2613">
      <formula>$C50&lt;$E$3</formula>
    </cfRule>
  </conditionalFormatting>
  <conditionalFormatting sqref="F50:H51">
    <cfRule type="expression" dxfId="11170" priority="2609">
      <formula>$C50=$E$3</formula>
    </cfRule>
    <cfRule type="expression" dxfId="11169" priority="2610">
      <formula>$C50&lt;$E$3</formula>
    </cfRule>
    <cfRule type="cellIs" dxfId="11168" priority="2611" operator="equal">
      <formula>0</formula>
    </cfRule>
    <cfRule type="expression" dxfId="11167" priority="2612">
      <formula>$C50&gt;$E$3</formula>
    </cfRule>
  </conditionalFormatting>
  <conditionalFormatting sqref="F50:H51">
    <cfRule type="expression" dxfId="11166" priority="2608">
      <formula>$C50&lt;$E$3</formula>
    </cfRule>
  </conditionalFormatting>
  <conditionalFormatting sqref="F50:H51">
    <cfRule type="expression" dxfId="11165" priority="2604">
      <formula>$C50=$E$3</formula>
    </cfRule>
    <cfRule type="expression" dxfId="11164" priority="2605">
      <formula>$C50&lt;$E$3</formula>
    </cfRule>
    <cfRule type="cellIs" dxfId="11163" priority="2606" operator="equal">
      <formula>0</formula>
    </cfRule>
    <cfRule type="expression" dxfId="11162" priority="2607">
      <formula>$C50&gt;$E$3</formula>
    </cfRule>
  </conditionalFormatting>
  <conditionalFormatting sqref="F50:H51">
    <cfRule type="expression" dxfId="11161" priority="2603">
      <formula>$C50&lt;$E$3</formula>
    </cfRule>
  </conditionalFormatting>
  <conditionalFormatting sqref="F50:H51">
    <cfRule type="expression" dxfId="11160" priority="2599">
      <formula>$C50=$E$3</formula>
    </cfRule>
    <cfRule type="expression" dxfId="11159" priority="2600">
      <formula>$C50&lt;$E$3</formula>
    </cfRule>
    <cfRule type="cellIs" dxfId="11158" priority="2601" operator="equal">
      <formula>0</formula>
    </cfRule>
    <cfRule type="expression" dxfId="11157" priority="2602">
      <formula>$C50&gt;$E$3</formula>
    </cfRule>
  </conditionalFormatting>
  <conditionalFormatting sqref="F50:H51">
    <cfRule type="expression" dxfId="11156" priority="2598">
      <formula>$E50=""</formula>
    </cfRule>
  </conditionalFormatting>
  <conditionalFormatting sqref="F50:H51">
    <cfRule type="expression" dxfId="11155" priority="2597">
      <formula>$C50&lt;$E$3</formula>
    </cfRule>
  </conditionalFormatting>
  <conditionalFormatting sqref="F50:H51">
    <cfRule type="expression" dxfId="11154" priority="2596">
      <formula>$E50=""</formula>
    </cfRule>
  </conditionalFormatting>
  <conditionalFormatting sqref="F50:H51">
    <cfRule type="expression" dxfId="11153" priority="2595">
      <formula>$E50=""</formula>
    </cfRule>
  </conditionalFormatting>
  <conditionalFormatting sqref="F50:H51">
    <cfRule type="expression" dxfId="11152" priority="2594">
      <formula>$C50&lt;$E$3</formula>
    </cfRule>
  </conditionalFormatting>
  <conditionalFormatting sqref="F50:H51">
    <cfRule type="expression" dxfId="11151" priority="2593">
      <formula>$E50=""</formula>
    </cfRule>
  </conditionalFormatting>
  <conditionalFormatting sqref="F50:H51">
    <cfRule type="expression" dxfId="11150" priority="2592">
      <formula>$C50&lt;$E$3</formula>
    </cfRule>
  </conditionalFormatting>
  <conditionalFormatting sqref="F50:H51">
    <cfRule type="expression" dxfId="11149" priority="2591">
      <formula>$E50=""</formula>
    </cfRule>
  </conditionalFormatting>
  <conditionalFormatting sqref="F50:H51">
    <cfRule type="expression" dxfId="11148" priority="2590">
      <formula>$C50&lt;$E$3</formula>
    </cfRule>
  </conditionalFormatting>
  <conditionalFormatting sqref="F50:H51">
    <cfRule type="expression" dxfId="11147" priority="2589">
      <formula>$E50=""</formula>
    </cfRule>
  </conditionalFormatting>
  <conditionalFormatting sqref="E14:E20 E5:E11 E41:E47 E32:E38 E23:E29 E50:E51">
    <cfRule type="containsText" dxfId="11146" priority="2582" operator="containsText" text="Sa">
      <formula>NOT(ISERROR(SEARCH("Sa",E5)))</formula>
    </cfRule>
    <cfRule type="containsText" dxfId="11145" priority="2584" operator="containsText" text="Fr">
      <formula>NOT(ISERROR(SEARCH("Fr",E5)))</formula>
    </cfRule>
    <cfRule type="containsText" dxfId="11144" priority="2585" operator="containsText" text="Th">
      <formula>NOT(ISERROR(SEARCH("Th",E5)))</formula>
    </cfRule>
  </conditionalFormatting>
  <conditionalFormatting sqref="E14:E20 E5:E11 E41:E47 E32:E38 E23:E29 E50:E51">
    <cfRule type="containsText" dxfId="11143" priority="2586" operator="containsText" text="Wed">
      <formula>NOT(ISERROR(SEARCH("Wed",E5)))</formula>
    </cfRule>
    <cfRule type="containsText" dxfId="11142" priority="2587" operator="containsText" text="Tu">
      <formula>NOT(ISERROR(SEARCH("Tu",E5)))</formula>
    </cfRule>
    <cfRule type="beginsWith" dxfId="11141" priority="2588" operator="beginsWith" text="M">
      <formula>LEFT(E5,1)="M"</formula>
    </cfRule>
  </conditionalFormatting>
  <conditionalFormatting sqref="E14:E20 E5:E11 E41:E47 E32:E38 E23:E29 E50:E51">
    <cfRule type="containsText" dxfId="11140" priority="2583" operator="containsText" text="Su">
      <formula>NOT(ISERROR(SEARCH("Su",E5)))</formula>
    </cfRule>
  </conditionalFormatting>
  <conditionalFormatting sqref="C4">
    <cfRule type="cellIs" dxfId="11139" priority="2578" stopIfTrue="1" operator="notBetween">
      <formula>$B$2</formula>
      <formula>$B$3</formula>
    </cfRule>
  </conditionalFormatting>
  <conditionalFormatting sqref="C4">
    <cfRule type="cellIs" dxfId="11138" priority="2579" operator="greaterThan">
      <formula>$E$3</formula>
    </cfRule>
    <cfRule type="cellIs" dxfId="11137" priority="2580" operator="equal">
      <formula>$E$3</formula>
    </cfRule>
    <cfRule type="cellIs" dxfId="11136" priority="2581" operator="lessThan">
      <formula>$E$3</formula>
    </cfRule>
  </conditionalFormatting>
  <conditionalFormatting sqref="H23:H29 H32 H14:H20 H11">
    <cfRule type="cellIs" dxfId="11135" priority="2388" stopIfTrue="1" operator="lessThan">
      <formula>0</formula>
    </cfRule>
  </conditionalFormatting>
  <conditionalFormatting sqref="H12">
    <cfRule type="expression" dxfId="11134" priority="2387">
      <formula>$F12&gt;=$F13</formula>
    </cfRule>
  </conditionalFormatting>
  <conditionalFormatting sqref="H21">
    <cfRule type="expression" dxfId="11133" priority="2386">
      <formula>$F21&gt;=$F22</formula>
    </cfRule>
  </conditionalFormatting>
  <conditionalFormatting sqref="H30">
    <cfRule type="expression" dxfId="11132" priority="2385">
      <formula>$F30&gt;=$F31</formula>
    </cfRule>
  </conditionalFormatting>
  <conditionalFormatting sqref="H12">
    <cfRule type="expression" dxfId="11131" priority="2384">
      <formula>$F12&gt;=$F13</formula>
    </cfRule>
  </conditionalFormatting>
  <conditionalFormatting sqref="H21">
    <cfRule type="expression" dxfId="11130" priority="2383">
      <formula>$F21&gt;=$F22</formula>
    </cfRule>
  </conditionalFormatting>
  <conditionalFormatting sqref="H30">
    <cfRule type="expression" dxfId="11129" priority="2382">
      <formula>$F30&gt;=$F31</formula>
    </cfRule>
  </conditionalFormatting>
  <conditionalFormatting sqref="H11">
    <cfRule type="expression" dxfId="11128" priority="2380">
      <formula>$C11&lt;$E$3</formula>
    </cfRule>
  </conditionalFormatting>
  <conditionalFormatting sqref="H11">
    <cfRule type="expression" dxfId="11127" priority="2377">
      <formula>$C11=$E$3</formula>
    </cfRule>
    <cfRule type="expression" dxfId="11126" priority="2378">
      <formula>$C11&lt;$E$3</formula>
    </cfRule>
    <cfRule type="cellIs" dxfId="11125" priority="2379" operator="equal">
      <formula>0</formula>
    </cfRule>
    <cfRule type="expression" dxfId="11124" priority="2381">
      <formula>$C11&gt;$E$3</formula>
    </cfRule>
  </conditionalFormatting>
  <conditionalFormatting sqref="H11">
    <cfRule type="expression" dxfId="11123" priority="2376">
      <formula>$C11&lt;$E$3</formula>
    </cfRule>
  </conditionalFormatting>
  <conditionalFormatting sqref="H11">
    <cfRule type="expression" dxfId="11122" priority="2372">
      <formula>$C11=$E$3</formula>
    </cfRule>
    <cfRule type="expression" dxfId="11121" priority="2373">
      <formula>$C11&lt;$E$3</formula>
    </cfRule>
    <cfRule type="cellIs" dxfId="11120" priority="2374" operator="equal">
      <formula>0</formula>
    </cfRule>
    <cfRule type="expression" dxfId="11119" priority="2375">
      <formula>$C11&gt;$E$3</formula>
    </cfRule>
  </conditionalFormatting>
  <conditionalFormatting sqref="H11">
    <cfRule type="expression" dxfId="11118" priority="2371">
      <formula>$C11&lt;$E$3</formula>
    </cfRule>
  </conditionalFormatting>
  <conditionalFormatting sqref="H11">
    <cfRule type="expression" dxfId="11117" priority="2367">
      <formula>$C11=$E$3</formula>
    </cfRule>
    <cfRule type="expression" dxfId="11116" priority="2368">
      <formula>$C11&lt;$E$3</formula>
    </cfRule>
    <cfRule type="cellIs" dxfId="11115" priority="2369" operator="equal">
      <formula>0</formula>
    </cfRule>
    <cfRule type="expression" dxfId="11114" priority="2370">
      <formula>$C11&gt;$E$3</formula>
    </cfRule>
  </conditionalFormatting>
  <conditionalFormatting sqref="H11">
    <cfRule type="expression" dxfId="11113" priority="2366">
      <formula>$C11&lt;$E$3</formula>
    </cfRule>
  </conditionalFormatting>
  <conditionalFormatting sqref="H11">
    <cfRule type="expression" dxfId="11112" priority="2362">
      <formula>$C11=$E$3</formula>
    </cfRule>
    <cfRule type="expression" dxfId="11111" priority="2363">
      <formula>$C11&lt;$E$3</formula>
    </cfRule>
    <cfRule type="cellIs" dxfId="11110" priority="2364" operator="equal">
      <formula>0</formula>
    </cfRule>
    <cfRule type="expression" dxfId="11109" priority="2365">
      <formula>$C11&gt;$E$3</formula>
    </cfRule>
  </conditionalFormatting>
  <conditionalFormatting sqref="H11">
    <cfRule type="expression" dxfId="11108" priority="2361">
      <formula>$E11=""</formula>
    </cfRule>
  </conditionalFormatting>
  <conditionalFormatting sqref="H11">
    <cfRule type="expression" dxfId="11107" priority="2360">
      <formula>$C11&lt;$E$3</formula>
    </cfRule>
  </conditionalFormatting>
  <conditionalFormatting sqref="H11">
    <cfRule type="expression" dxfId="11106" priority="2359">
      <formula>$E11=""</formula>
    </cfRule>
  </conditionalFormatting>
  <conditionalFormatting sqref="H11">
    <cfRule type="expression" dxfId="11105" priority="2358">
      <formula>$E11=""</formula>
    </cfRule>
  </conditionalFormatting>
  <conditionalFormatting sqref="H11">
    <cfRule type="expression" dxfId="11104" priority="2357">
      <formula>$C11&lt;$E$3</formula>
    </cfRule>
  </conditionalFormatting>
  <conditionalFormatting sqref="H11">
    <cfRule type="expression" dxfId="11103" priority="2356">
      <formula>$E11=""</formula>
    </cfRule>
  </conditionalFormatting>
  <conditionalFormatting sqref="H11">
    <cfRule type="expression" dxfId="11102" priority="2355">
      <formula>$C11&lt;$E$3</formula>
    </cfRule>
  </conditionalFormatting>
  <conditionalFormatting sqref="H11">
    <cfRule type="expression" dxfId="11101" priority="2354">
      <formula>$E11=""</formula>
    </cfRule>
  </conditionalFormatting>
  <conditionalFormatting sqref="H11">
    <cfRule type="expression" dxfId="11100" priority="2353">
      <formula>$C11&lt;$E$3</formula>
    </cfRule>
  </conditionalFormatting>
  <conditionalFormatting sqref="H11">
    <cfRule type="expression" dxfId="11099" priority="2352">
      <formula>$E11=""</formula>
    </cfRule>
  </conditionalFormatting>
  <conditionalFormatting sqref="H14:H20">
    <cfRule type="expression" dxfId="11098" priority="2350">
      <formula>$C14&lt;$E$3</formula>
    </cfRule>
  </conditionalFormatting>
  <conditionalFormatting sqref="H14:H20">
    <cfRule type="expression" dxfId="11097" priority="2347">
      <formula>$C14=$E$3</formula>
    </cfRule>
    <cfRule type="expression" dxfId="11096" priority="2348">
      <formula>$C14&lt;$E$3</formula>
    </cfRule>
    <cfRule type="cellIs" dxfId="11095" priority="2349" operator="equal">
      <formula>0</formula>
    </cfRule>
    <cfRule type="expression" dxfId="11094" priority="2351">
      <formula>$C14&gt;$E$3</formula>
    </cfRule>
  </conditionalFormatting>
  <conditionalFormatting sqref="H14:H20">
    <cfRule type="expression" dxfId="11093" priority="2346">
      <formula>$C14&lt;$E$3</formula>
    </cfRule>
  </conditionalFormatting>
  <conditionalFormatting sqref="H14:H20">
    <cfRule type="expression" dxfId="11092" priority="2342">
      <formula>$C14=$E$3</formula>
    </cfRule>
    <cfRule type="expression" dxfId="11091" priority="2343">
      <formula>$C14&lt;$E$3</formula>
    </cfRule>
    <cfRule type="cellIs" dxfId="11090" priority="2344" operator="equal">
      <formula>0</formula>
    </cfRule>
    <cfRule type="expression" dxfId="11089" priority="2345">
      <formula>$C14&gt;$E$3</formula>
    </cfRule>
  </conditionalFormatting>
  <conditionalFormatting sqref="H14:H20">
    <cfRule type="expression" dxfId="11088" priority="2341">
      <formula>$C14&lt;$E$3</formula>
    </cfRule>
  </conditionalFormatting>
  <conditionalFormatting sqref="H14:H20">
    <cfRule type="expression" dxfId="11087" priority="2337">
      <formula>$C14=$E$3</formula>
    </cfRule>
    <cfRule type="expression" dxfId="11086" priority="2338">
      <formula>$C14&lt;$E$3</formula>
    </cfRule>
    <cfRule type="cellIs" dxfId="11085" priority="2339" operator="equal">
      <formula>0</formula>
    </cfRule>
    <cfRule type="expression" dxfId="11084" priority="2340">
      <formula>$C14&gt;$E$3</formula>
    </cfRule>
  </conditionalFormatting>
  <conditionalFormatting sqref="H14:H20">
    <cfRule type="expression" dxfId="11083" priority="2336">
      <formula>$C14&lt;$E$3</formula>
    </cfRule>
  </conditionalFormatting>
  <conditionalFormatting sqref="H14:H20">
    <cfRule type="expression" dxfId="11082" priority="2332">
      <formula>$C14=$E$3</formula>
    </cfRule>
    <cfRule type="expression" dxfId="11081" priority="2333">
      <formula>$C14&lt;$E$3</formula>
    </cfRule>
    <cfRule type="cellIs" dxfId="11080" priority="2334" operator="equal">
      <formula>0</formula>
    </cfRule>
    <cfRule type="expression" dxfId="11079" priority="2335">
      <formula>$C14&gt;$E$3</formula>
    </cfRule>
  </conditionalFormatting>
  <conditionalFormatting sqref="H14:H20">
    <cfRule type="expression" dxfId="11078" priority="2331">
      <formula>$E14=""</formula>
    </cfRule>
  </conditionalFormatting>
  <conditionalFormatting sqref="H14:H20">
    <cfRule type="expression" dxfId="11077" priority="2330">
      <formula>$C14&lt;$E$3</formula>
    </cfRule>
  </conditionalFormatting>
  <conditionalFormatting sqref="H14:H20">
    <cfRule type="expression" dxfId="11076" priority="2329">
      <formula>$E14=""</formula>
    </cfRule>
  </conditionalFormatting>
  <conditionalFormatting sqref="H14:H20">
    <cfRule type="expression" dxfId="11075" priority="2328">
      <formula>$E14=""</formula>
    </cfRule>
  </conditionalFormatting>
  <conditionalFormatting sqref="H14:H20">
    <cfRule type="expression" dxfId="11074" priority="2327">
      <formula>$C14&lt;$E$3</formula>
    </cfRule>
  </conditionalFormatting>
  <conditionalFormatting sqref="H14:H20">
    <cfRule type="expression" dxfId="11073" priority="2326">
      <formula>$E14=""</formula>
    </cfRule>
  </conditionalFormatting>
  <conditionalFormatting sqref="H14:H20">
    <cfRule type="expression" dxfId="11072" priority="2325">
      <formula>$C14&lt;$E$3</formula>
    </cfRule>
  </conditionalFormatting>
  <conditionalFormatting sqref="H14:H20">
    <cfRule type="expression" dxfId="11071" priority="2324">
      <formula>$E14=""</formula>
    </cfRule>
  </conditionalFormatting>
  <conditionalFormatting sqref="H14:H20">
    <cfRule type="expression" dxfId="11070" priority="2323">
      <formula>$C14&lt;$E$3</formula>
    </cfRule>
  </conditionalFormatting>
  <conditionalFormatting sqref="H14:H20">
    <cfRule type="expression" dxfId="11069" priority="2322">
      <formula>$E14=""</formula>
    </cfRule>
  </conditionalFormatting>
  <conditionalFormatting sqref="H23:H29">
    <cfRule type="expression" dxfId="11068" priority="2320">
      <formula>$C23&lt;$E$3</formula>
    </cfRule>
  </conditionalFormatting>
  <conditionalFormatting sqref="H23:H29">
    <cfRule type="expression" dxfId="11067" priority="2317">
      <formula>$C23=$E$3</formula>
    </cfRule>
    <cfRule type="expression" dxfId="11066" priority="2318">
      <formula>$C23&lt;$E$3</formula>
    </cfRule>
    <cfRule type="cellIs" dxfId="11065" priority="2319" operator="equal">
      <formula>0</formula>
    </cfRule>
    <cfRule type="expression" dxfId="11064" priority="2321">
      <formula>$C23&gt;$E$3</formula>
    </cfRule>
  </conditionalFormatting>
  <conditionalFormatting sqref="H23:H29">
    <cfRule type="expression" dxfId="11063" priority="2316">
      <formula>$C23&lt;$E$3</formula>
    </cfRule>
  </conditionalFormatting>
  <conditionalFormatting sqref="H23:H29">
    <cfRule type="expression" dxfId="11062" priority="2312">
      <formula>$C23=$E$3</formula>
    </cfRule>
    <cfRule type="expression" dxfId="11061" priority="2313">
      <formula>$C23&lt;$E$3</formula>
    </cfRule>
    <cfRule type="cellIs" dxfId="11060" priority="2314" operator="equal">
      <formula>0</formula>
    </cfRule>
    <cfRule type="expression" dxfId="11059" priority="2315">
      <formula>$C23&gt;$E$3</formula>
    </cfRule>
  </conditionalFormatting>
  <conditionalFormatting sqref="H23:H29">
    <cfRule type="expression" dxfId="11058" priority="2311">
      <formula>$C23&lt;$E$3</formula>
    </cfRule>
  </conditionalFormatting>
  <conditionalFormatting sqref="H23:H29">
    <cfRule type="expression" dxfId="11057" priority="2307">
      <formula>$C23=$E$3</formula>
    </cfRule>
    <cfRule type="expression" dxfId="11056" priority="2308">
      <formula>$C23&lt;$E$3</formula>
    </cfRule>
    <cfRule type="cellIs" dxfId="11055" priority="2309" operator="equal">
      <formula>0</formula>
    </cfRule>
    <cfRule type="expression" dxfId="11054" priority="2310">
      <formula>$C23&gt;$E$3</formula>
    </cfRule>
  </conditionalFormatting>
  <conditionalFormatting sqref="H23:H29">
    <cfRule type="expression" dxfId="11053" priority="2306">
      <formula>$C23&lt;$E$3</formula>
    </cfRule>
  </conditionalFormatting>
  <conditionalFormatting sqref="H23:H29">
    <cfRule type="expression" dxfId="11052" priority="2302">
      <formula>$C23=$E$3</formula>
    </cfRule>
    <cfRule type="expression" dxfId="11051" priority="2303">
      <formula>$C23&lt;$E$3</formula>
    </cfRule>
    <cfRule type="cellIs" dxfId="11050" priority="2304" operator="equal">
      <formula>0</formula>
    </cfRule>
    <cfRule type="expression" dxfId="11049" priority="2305">
      <formula>$C23&gt;$E$3</formula>
    </cfRule>
  </conditionalFormatting>
  <conditionalFormatting sqref="H23:H29">
    <cfRule type="expression" dxfId="11048" priority="2301">
      <formula>$E23=""</formula>
    </cfRule>
  </conditionalFormatting>
  <conditionalFormatting sqref="H23:H29">
    <cfRule type="expression" dxfId="11047" priority="2300">
      <formula>$C23&lt;$E$3</formula>
    </cfRule>
  </conditionalFormatting>
  <conditionalFormatting sqref="H23:H29">
    <cfRule type="expression" dxfId="11046" priority="2299">
      <formula>$E23=""</formula>
    </cfRule>
  </conditionalFormatting>
  <conditionalFormatting sqref="H23:H29">
    <cfRule type="expression" dxfId="11045" priority="2298">
      <formula>$E23=""</formula>
    </cfRule>
  </conditionalFormatting>
  <conditionalFormatting sqref="H23:H29">
    <cfRule type="expression" dxfId="11044" priority="2297">
      <formula>$C23&lt;$E$3</formula>
    </cfRule>
  </conditionalFormatting>
  <conditionalFormatting sqref="H23:H29">
    <cfRule type="expression" dxfId="11043" priority="2296">
      <formula>$E23=""</formula>
    </cfRule>
  </conditionalFormatting>
  <conditionalFormatting sqref="H23:H29">
    <cfRule type="expression" dxfId="11042" priority="2295">
      <formula>$C23&lt;$E$3</formula>
    </cfRule>
  </conditionalFormatting>
  <conditionalFormatting sqref="H23:H29">
    <cfRule type="expression" dxfId="11041" priority="2294">
      <formula>$E23=""</formula>
    </cfRule>
  </conditionalFormatting>
  <conditionalFormatting sqref="H23:H29">
    <cfRule type="expression" dxfId="11040" priority="2293">
      <formula>$C23&lt;$E$3</formula>
    </cfRule>
  </conditionalFormatting>
  <conditionalFormatting sqref="H23:H29">
    <cfRule type="expression" dxfId="11039" priority="2292">
      <formula>$E23=""</formula>
    </cfRule>
  </conditionalFormatting>
  <conditionalFormatting sqref="H32">
    <cfRule type="expression" dxfId="11038" priority="2290">
      <formula>$C32&lt;$E$3</formula>
    </cfRule>
  </conditionalFormatting>
  <conditionalFormatting sqref="H32">
    <cfRule type="expression" dxfId="11037" priority="2287">
      <formula>$C32=$E$3</formula>
    </cfRule>
    <cfRule type="expression" dxfId="11036" priority="2288">
      <formula>$C32&lt;$E$3</formula>
    </cfRule>
    <cfRule type="cellIs" dxfId="11035" priority="2289" operator="equal">
      <formula>0</formula>
    </cfRule>
    <cfRule type="expression" dxfId="11034" priority="2291">
      <formula>$C32&gt;$E$3</formula>
    </cfRule>
  </conditionalFormatting>
  <conditionalFormatting sqref="H32">
    <cfRule type="expression" dxfId="11033" priority="2286">
      <formula>$C32&lt;$E$3</formula>
    </cfRule>
  </conditionalFormatting>
  <conditionalFormatting sqref="H32">
    <cfRule type="expression" dxfId="11032" priority="2282">
      <formula>$C32=$E$3</formula>
    </cfRule>
    <cfRule type="expression" dxfId="11031" priority="2283">
      <formula>$C32&lt;$E$3</formula>
    </cfRule>
    <cfRule type="cellIs" dxfId="11030" priority="2284" operator="equal">
      <formula>0</formula>
    </cfRule>
    <cfRule type="expression" dxfId="11029" priority="2285">
      <formula>$C32&gt;$E$3</formula>
    </cfRule>
  </conditionalFormatting>
  <conditionalFormatting sqref="H32">
    <cfRule type="expression" dxfId="11028" priority="2281">
      <formula>$C32&lt;$E$3</formula>
    </cfRule>
  </conditionalFormatting>
  <conditionalFormatting sqref="H32">
    <cfRule type="expression" dxfId="11027" priority="2277">
      <formula>$C32=$E$3</formula>
    </cfRule>
    <cfRule type="expression" dxfId="11026" priority="2278">
      <formula>$C32&lt;$E$3</formula>
    </cfRule>
    <cfRule type="cellIs" dxfId="11025" priority="2279" operator="equal">
      <formula>0</formula>
    </cfRule>
    <cfRule type="expression" dxfId="11024" priority="2280">
      <formula>$C32&gt;$E$3</formula>
    </cfRule>
  </conditionalFormatting>
  <conditionalFormatting sqref="H32">
    <cfRule type="expression" dxfId="11023" priority="2276">
      <formula>$C32&lt;$E$3</formula>
    </cfRule>
  </conditionalFormatting>
  <conditionalFormatting sqref="H32">
    <cfRule type="expression" dxfId="11022" priority="2272">
      <formula>$C32=$E$3</formula>
    </cfRule>
    <cfRule type="expression" dxfId="11021" priority="2273">
      <formula>$C32&lt;$E$3</formula>
    </cfRule>
    <cfRule type="cellIs" dxfId="11020" priority="2274" operator="equal">
      <formula>0</formula>
    </cfRule>
    <cfRule type="expression" dxfId="11019" priority="2275">
      <formula>$C32&gt;$E$3</formula>
    </cfRule>
  </conditionalFormatting>
  <conditionalFormatting sqref="H32">
    <cfRule type="expression" dxfId="11018" priority="2271">
      <formula>$E32=""</formula>
    </cfRule>
  </conditionalFormatting>
  <conditionalFormatting sqref="H32">
    <cfRule type="expression" dxfId="11017" priority="2270">
      <formula>$C32&lt;$E$3</formula>
    </cfRule>
  </conditionalFormatting>
  <conditionalFormatting sqref="H32">
    <cfRule type="expression" dxfId="11016" priority="2269">
      <formula>$E32=""</formula>
    </cfRule>
  </conditionalFormatting>
  <conditionalFormatting sqref="H32">
    <cfRule type="expression" dxfId="11015" priority="2268">
      <formula>$E32=""</formula>
    </cfRule>
  </conditionalFormatting>
  <conditionalFormatting sqref="H32">
    <cfRule type="expression" dxfId="11014" priority="2267">
      <formula>$C32&lt;$E$3</formula>
    </cfRule>
  </conditionalFormatting>
  <conditionalFormatting sqref="H32">
    <cfRule type="expression" dxfId="11013" priority="2266">
      <formula>$E32=""</formula>
    </cfRule>
  </conditionalFormatting>
  <conditionalFormatting sqref="H32">
    <cfRule type="expression" dxfId="11012" priority="2265">
      <formula>$C32&lt;$E$3</formula>
    </cfRule>
  </conditionalFormatting>
  <conditionalFormatting sqref="H32">
    <cfRule type="expression" dxfId="11011" priority="2264">
      <formula>$E32=""</formula>
    </cfRule>
  </conditionalFormatting>
  <conditionalFormatting sqref="H32">
    <cfRule type="expression" dxfId="11010" priority="2263">
      <formula>$C32&lt;$E$3</formula>
    </cfRule>
  </conditionalFormatting>
  <conditionalFormatting sqref="H32">
    <cfRule type="expression" dxfId="11009" priority="2262">
      <formula>$E32=""</formula>
    </cfRule>
  </conditionalFormatting>
  <conditionalFormatting sqref="F52:H52">
    <cfRule type="expression" dxfId="11008" priority="2759" stopIfTrue="1">
      <formula>$H$52=-1E-55</formula>
    </cfRule>
    <cfRule type="expression" dxfId="11007" priority="2760">
      <formula>$F52&gt;=$F53</formula>
    </cfRule>
  </conditionalFormatting>
  <conditionalFormatting sqref="H33:H37">
    <cfRule type="cellIs" dxfId="11006" priority="2175" stopIfTrue="1" operator="lessThan">
      <formula>0</formula>
    </cfRule>
  </conditionalFormatting>
  <conditionalFormatting sqref="H33:H37">
    <cfRule type="expression" dxfId="11005" priority="2179">
      <formula>$C33&lt;$E$3</formula>
    </cfRule>
  </conditionalFormatting>
  <conditionalFormatting sqref="H33:H37">
    <cfRule type="expression" dxfId="11004" priority="2176">
      <formula>$C33=$E$3</formula>
    </cfRule>
    <cfRule type="expression" dxfId="11003" priority="2177">
      <formula>$C33&lt;$E$3</formula>
    </cfRule>
    <cfRule type="cellIs" dxfId="11002" priority="2178" operator="equal">
      <formula>0</formula>
    </cfRule>
    <cfRule type="expression" dxfId="11001" priority="2180">
      <formula>$C33&gt;$E$3</formula>
    </cfRule>
  </conditionalFormatting>
  <conditionalFormatting sqref="H33:H37">
    <cfRule type="expression" dxfId="11000" priority="2174">
      <formula>$C33&lt;$E$3</formula>
    </cfRule>
  </conditionalFormatting>
  <conditionalFormatting sqref="H33:H37">
    <cfRule type="expression" dxfId="10999" priority="2170">
      <formula>$C33=$E$3</formula>
    </cfRule>
    <cfRule type="expression" dxfId="10998" priority="2171">
      <formula>$C33&lt;$E$3</formula>
    </cfRule>
    <cfRule type="cellIs" dxfId="10997" priority="2172" operator="equal">
      <formula>0</formula>
    </cfRule>
    <cfRule type="expression" dxfId="10996" priority="2173">
      <formula>$C33&gt;$E$3</formula>
    </cfRule>
  </conditionalFormatting>
  <conditionalFormatting sqref="H33:H37">
    <cfRule type="expression" dxfId="10995" priority="2169">
      <formula>$E33=""</formula>
    </cfRule>
  </conditionalFormatting>
  <conditionalFormatting sqref="H36">
    <cfRule type="expression" dxfId="10994" priority="2168">
      <formula>$E36=""</formula>
    </cfRule>
  </conditionalFormatting>
  <conditionalFormatting sqref="H33:H37">
    <cfRule type="expression" dxfId="10993" priority="2167">
      <formula>$C33&lt;$E$3</formula>
    </cfRule>
  </conditionalFormatting>
  <conditionalFormatting sqref="H33:H37">
    <cfRule type="expression" dxfId="10992" priority="2163">
      <formula>$C33=$E$3</formula>
    </cfRule>
    <cfRule type="expression" dxfId="10991" priority="2164">
      <formula>$C33&lt;$E$3</formula>
    </cfRule>
    <cfRule type="cellIs" dxfId="10990" priority="2165" operator="equal">
      <formula>0</formula>
    </cfRule>
    <cfRule type="expression" dxfId="10989" priority="2166">
      <formula>$C33&gt;$E$3</formula>
    </cfRule>
  </conditionalFormatting>
  <conditionalFormatting sqref="H33:H37">
    <cfRule type="expression" dxfId="10988" priority="2162">
      <formula>$C33&lt;$E$3</formula>
    </cfRule>
  </conditionalFormatting>
  <conditionalFormatting sqref="H33:H37">
    <cfRule type="expression" dxfId="10987" priority="2158">
      <formula>$C33=$E$3</formula>
    </cfRule>
    <cfRule type="expression" dxfId="10986" priority="2159">
      <formula>$C33&lt;$E$3</formula>
    </cfRule>
    <cfRule type="cellIs" dxfId="10985" priority="2160" operator="equal">
      <formula>0</formula>
    </cfRule>
    <cfRule type="expression" dxfId="10984" priority="2161">
      <formula>$C33&gt;$E$3</formula>
    </cfRule>
  </conditionalFormatting>
  <conditionalFormatting sqref="H33:H37">
    <cfRule type="expression" dxfId="10983" priority="2157">
      <formula>$E33=""</formula>
    </cfRule>
  </conditionalFormatting>
  <conditionalFormatting sqref="H33:H37">
    <cfRule type="expression" dxfId="10982" priority="2156">
      <formula>$C33&lt;$E$3</formula>
    </cfRule>
  </conditionalFormatting>
  <conditionalFormatting sqref="H33:H37">
    <cfRule type="expression" dxfId="10981" priority="2155">
      <formula>$E33=""</formula>
    </cfRule>
  </conditionalFormatting>
  <conditionalFormatting sqref="H33:H37">
    <cfRule type="expression" dxfId="10980" priority="2154">
      <formula>$E33=""</formula>
    </cfRule>
  </conditionalFormatting>
  <conditionalFormatting sqref="H33:H37">
    <cfRule type="expression" dxfId="10979" priority="2153">
      <formula>$C33&lt;$E$3</formula>
    </cfRule>
  </conditionalFormatting>
  <conditionalFormatting sqref="H33:H37">
    <cfRule type="expression" dxfId="10978" priority="2152">
      <formula>$E33=""</formula>
    </cfRule>
  </conditionalFormatting>
  <conditionalFormatting sqref="H33:H37">
    <cfRule type="expression" dxfId="10977" priority="2151">
      <formula>$C33&lt;$E$3</formula>
    </cfRule>
  </conditionalFormatting>
  <conditionalFormatting sqref="H33:H37">
    <cfRule type="expression" dxfId="10976" priority="2150">
      <formula>$E33=""</formula>
    </cfRule>
  </conditionalFormatting>
  <conditionalFormatting sqref="H33:H37">
    <cfRule type="expression" dxfId="10975" priority="2149">
      <formula>$C33&lt;$E$3</formula>
    </cfRule>
  </conditionalFormatting>
  <conditionalFormatting sqref="H33:H37">
    <cfRule type="expression" dxfId="10974" priority="2148">
      <formula>$E33=""</formula>
    </cfRule>
  </conditionalFormatting>
  <conditionalFormatting sqref="K50:K51">
    <cfRule type="cellIs" dxfId="10973" priority="699" stopIfTrue="1" operator="lessThan">
      <formula>0</formula>
    </cfRule>
  </conditionalFormatting>
  <conditionalFormatting sqref="K50:K51">
    <cfRule type="expression" dxfId="10972" priority="675">
      <formula>$E50=""</formula>
    </cfRule>
  </conditionalFormatting>
  <conditionalFormatting sqref="K50:K51">
    <cfRule type="expression" dxfId="10971" priority="674">
      <formula>$C50&lt;$E$3</formula>
    </cfRule>
  </conditionalFormatting>
  <conditionalFormatting sqref="K50:K51">
    <cfRule type="expression" dxfId="10970" priority="673">
      <formula>$E50=""</formula>
    </cfRule>
  </conditionalFormatting>
  <conditionalFormatting sqref="K50:K51">
    <cfRule type="expression" dxfId="10969" priority="645">
      <formula>$E50=""</formula>
    </cfRule>
  </conditionalFormatting>
  <conditionalFormatting sqref="K50:K51">
    <cfRule type="expression" dxfId="10968" priority="644">
      <formula>$C50&lt;$E$3</formula>
    </cfRule>
  </conditionalFormatting>
  <conditionalFormatting sqref="K50:K51">
    <cfRule type="expression" dxfId="10967" priority="643">
      <formula>$E50=""</formula>
    </cfRule>
  </conditionalFormatting>
  <conditionalFormatting sqref="K50:K51">
    <cfRule type="expression" dxfId="10966" priority="637">
      <formula>$C50&lt;$E$3</formula>
    </cfRule>
  </conditionalFormatting>
  <conditionalFormatting sqref="V50:W51 V5:W20 V23:W29 V32:W38 V41:W47">
    <cfRule type="cellIs" dxfId="10965" priority="1550" stopIfTrue="1" operator="lessThan">
      <formula>0</formula>
    </cfRule>
  </conditionalFormatting>
  <conditionalFormatting sqref="Q4:Q51 R5:R11 R14:R20 R23:R29 R32:R38 R41:R47 R50:R51 T50:U51 T41:U47 T32:U38 T23:U29 T14:U20 T5:U11">
    <cfRule type="cellIs" dxfId="10964" priority="1551" stopIfTrue="1" operator="lessThan">
      <formula>0</formula>
    </cfRule>
  </conditionalFormatting>
  <conditionalFormatting sqref="N5:N6 N9">
    <cfRule type="cellIs" dxfId="10963" priority="627" stopIfTrue="1" operator="lessThan">
      <formula>0</formula>
    </cfRule>
  </conditionalFormatting>
  <conditionalFormatting sqref="M14:M20 M32:M38 M41:M47 M23:M29">
    <cfRule type="expression" dxfId="10962" priority="589">
      <formula>$C14&lt;$E$3</formula>
    </cfRule>
  </conditionalFormatting>
  <conditionalFormatting sqref="M14:M20 M32:M38 M41:M47 M23:M29">
    <cfRule type="expression" dxfId="10961" priority="587">
      <formula>$C14&lt;$E$3</formula>
    </cfRule>
  </conditionalFormatting>
  <conditionalFormatting sqref="M14:M20 M32:M38 M41:M47 M23:M29">
    <cfRule type="expression" dxfId="10960" priority="559">
      <formula>$C14&lt;$E$3</formula>
    </cfRule>
  </conditionalFormatting>
  <conditionalFormatting sqref="K19">
    <cfRule type="expression" dxfId="10959" priority="519">
      <formula>$C19&lt;$E$3</formula>
    </cfRule>
  </conditionalFormatting>
  <conditionalFormatting sqref="K19">
    <cfRule type="expression" dxfId="10958" priority="517">
      <formula>$C19&lt;$E$3</formula>
    </cfRule>
  </conditionalFormatting>
  <conditionalFormatting sqref="K19">
    <cfRule type="expression" dxfId="10957" priority="489">
      <formula>$C19&lt;$E$3</formula>
    </cfRule>
  </conditionalFormatting>
  <conditionalFormatting sqref="K14:K18">
    <cfRule type="expression" dxfId="10956" priority="487">
      <formula>$C14&lt;$E$3</formula>
    </cfRule>
  </conditionalFormatting>
  <conditionalFormatting sqref="K14:K18">
    <cfRule type="expression" dxfId="10955" priority="459">
      <formula>$C14&lt;$E$3</formula>
    </cfRule>
  </conditionalFormatting>
  <conditionalFormatting sqref="K14:K18">
    <cfRule type="expression" dxfId="10954" priority="457">
      <formula>$C14&lt;$E$3</formula>
    </cfRule>
  </conditionalFormatting>
  <conditionalFormatting sqref="K14:K18">
    <cfRule type="expression" dxfId="10953" priority="429">
      <formula>$C14&lt;$E$3</formula>
    </cfRule>
  </conditionalFormatting>
  <conditionalFormatting sqref="K28">
    <cfRule type="expression" dxfId="10952" priority="382">
      <formula>$C28&lt;$E$3</formula>
    </cfRule>
  </conditionalFormatting>
  <conditionalFormatting sqref="K28">
    <cfRule type="expression" dxfId="10951" priority="380">
      <formula>$C28&lt;$E$3</formula>
    </cfRule>
  </conditionalFormatting>
  <conditionalFormatting sqref="K28">
    <cfRule type="expression" dxfId="10950" priority="352">
      <formula>$C28&lt;$E$3</formula>
    </cfRule>
  </conditionalFormatting>
  <conditionalFormatting sqref="K23:K27">
    <cfRule type="expression" dxfId="10949" priority="350">
      <formula>$C23&lt;$E$3</formula>
    </cfRule>
  </conditionalFormatting>
  <conditionalFormatting sqref="K23:K27">
    <cfRule type="expression" dxfId="10948" priority="322">
      <formula>$C23&lt;$E$3</formula>
    </cfRule>
  </conditionalFormatting>
  <conditionalFormatting sqref="K23:K27">
    <cfRule type="expression" dxfId="10947" priority="320">
      <formula>$C23&lt;$E$3</formula>
    </cfRule>
  </conditionalFormatting>
  <conditionalFormatting sqref="K23:K27">
    <cfRule type="expression" dxfId="10946" priority="292">
      <formula>$C23&lt;$E$3</formula>
    </cfRule>
  </conditionalFormatting>
  <conditionalFormatting sqref="K37">
    <cfRule type="expression" dxfId="10945" priority="245">
      <formula>$C37&lt;$E$3</formula>
    </cfRule>
  </conditionalFormatting>
  <conditionalFormatting sqref="K37">
    <cfRule type="expression" dxfId="10944" priority="243">
      <formula>$C37&lt;$E$3</formula>
    </cfRule>
  </conditionalFormatting>
  <conditionalFormatting sqref="K37">
    <cfRule type="expression" dxfId="10943" priority="215">
      <formula>$C37&lt;$E$3</formula>
    </cfRule>
  </conditionalFormatting>
  <conditionalFormatting sqref="K32:K36">
    <cfRule type="expression" dxfId="10942" priority="213">
      <formula>$C32&lt;$E$3</formula>
    </cfRule>
  </conditionalFormatting>
  <conditionalFormatting sqref="K32:K36">
    <cfRule type="expression" dxfId="10941" priority="185">
      <formula>$C32&lt;$E$3</formula>
    </cfRule>
  </conditionalFormatting>
  <conditionalFormatting sqref="K32:K36">
    <cfRule type="expression" dxfId="10940" priority="183">
      <formula>$C32&lt;$E$3</formula>
    </cfRule>
  </conditionalFormatting>
  <conditionalFormatting sqref="K32:K36">
    <cfRule type="expression" dxfId="10939" priority="155">
      <formula>$C32&lt;$E$3</formula>
    </cfRule>
  </conditionalFormatting>
  <conditionalFormatting sqref="K46">
    <cfRule type="expression" dxfId="10938" priority="108">
      <formula>$C46&lt;$E$3</formula>
    </cfRule>
  </conditionalFormatting>
  <conditionalFormatting sqref="K46">
    <cfRule type="expression" dxfId="10937" priority="106">
      <formula>$C46&lt;$E$3</formula>
    </cfRule>
  </conditionalFormatting>
  <conditionalFormatting sqref="K46">
    <cfRule type="expression" dxfId="10936" priority="78">
      <formula>$C46&lt;$E$3</formula>
    </cfRule>
  </conditionalFormatting>
  <conditionalFormatting sqref="K41:K45">
    <cfRule type="expression" dxfId="10935" priority="76">
      <formula>$C41&lt;$E$3</formula>
    </cfRule>
  </conditionalFormatting>
  <conditionalFormatting sqref="K41:K45">
    <cfRule type="expression" dxfId="10934" priority="48">
      <formula>$C41&lt;$E$3</formula>
    </cfRule>
  </conditionalFormatting>
  <conditionalFormatting sqref="K41:K45">
    <cfRule type="expression" dxfId="10933" priority="46">
      <formula>$C41&lt;$E$3</formula>
    </cfRule>
  </conditionalFormatting>
  <conditionalFormatting sqref="K41:K45">
    <cfRule type="expression" dxfId="10932" priority="18">
      <formula>$C41&lt;$E$3</formula>
    </cfRule>
  </conditionalFormatting>
  <conditionalFormatting sqref="N29">
    <cfRule type="cellIs" dxfId="10931" priority="4" stopIfTrue="1" operator="lessThan">
      <formula>0</formula>
    </cfRule>
  </conditionalFormatting>
  <conditionalFormatting sqref="N25">
    <cfRule type="cellIs" dxfId="10930" priority="3" stopIfTrue="1" operator="lessThan">
      <formula>0</formula>
    </cfRule>
  </conditionalFormatting>
  <conditionalFormatting sqref="N26">
    <cfRule type="cellIs" dxfId="10929" priority="2" stopIfTrue="1" operator="lessThan">
      <formula>0</formula>
    </cfRule>
  </conditionalFormatting>
  <conditionalFormatting sqref="N24">
    <cfRule type="cellIs" dxfId="10928" priority="1" stopIfTrue="1" operator="lessThan">
      <formula>0</formula>
    </cfRule>
  </conditionalFormatting>
  <conditionalFormatting sqref="K5:K11 K50:K51">
    <cfRule type="cellIs" dxfId="10927" priority="922" stopIfTrue="1" operator="lessThan">
      <formula>0</formula>
    </cfRule>
  </conditionalFormatting>
  <conditionalFormatting sqref="K5:K11 K50:K51">
    <cfRule type="expression" dxfId="10926" priority="920">
      <formula>$C5&lt;$E$3</formula>
    </cfRule>
  </conditionalFormatting>
  <conditionalFormatting sqref="K5:K11 K50:K51">
    <cfRule type="expression" dxfId="10925" priority="917">
      <formula>$C5=$E$3</formula>
    </cfRule>
    <cfRule type="expression" dxfId="10924" priority="918">
      <formula>$C5&lt;$E$3</formula>
    </cfRule>
    <cfRule type="cellIs" dxfId="10923" priority="919" operator="equal">
      <formula>0</formula>
    </cfRule>
    <cfRule type="expression" dxfId="10922" priority="921">
      <formula>$C5&gt;$E$3</formula>
    </cfRule>
  </conditionalFormatting>
  <conditionalFormatting sqref="K5:K11 K50:K51">
    <cfRule type="expression" dxfId="10921" priority="916">
      <formula>$E5=""</formula>
    </cfRule>
  </conditionalFormatting>
  <conditionalFormatting sqref="K5:K11 K50:K51">
    <cfRule type="expression" dxfId="10920" priority="915">
      <formula>$E5=""</formula>
    </cfRule>
  </conditionalFormatting>
  <conditionalFormatting sqref="K5:K11 K50:K51">
    <cfRule type="expression" dxfId="10919" priority="914">
      <formula>$E5=""</formula>
    </cfRule>
  </conditionalFormatting>
  <conditionalFormatting sqref="J5:J11 J50:J51 L5:M11 L50:N51">
    <cfRule type="cellIs" dxfId="10918" priority="913" stopIfTrue="1" operator="lessThan">
      <formula>0</formula>
    </cfRule>
  </conditionalFormatting>
  <conditionalFormatting sqref="J5:J11 J50:J51 L5:M11 L50:M51">
    <cfRule type="expression" dxfId="10917" priority="911">
      <formula>$C5&lt;$E$3</formula>
    </cfRule>
  </conditionalFormatting>
  <conditionalFormatting sqref="J5:J11 J50:J51 L5:M11 L50:M51">
    <cfRule type="expression" dxfId="10916" priority="908">
      <formula>$C5=$E$3</formula>
    </cfRule>
    <cfRule type="expression" dxfId="10915" priority="909">
      <formula>$C5&lt;$E$3</formula>
    </cfRule>
    <cfRule type="cellIs" dxfId="10914" priority="910" operator="equal">
      <formula>0</formula>
    </cfRule>
    <cfRule type="expression" dxfId="10913" priority="912">
      <formula>$C5&gt;$E$3</formula>
    </cfRule>
  </conditionalFormatting>
  <conditionalFormatting sqref="J5:J11 J50:J51 L5:M11 L50:M51">
    <cfRule type="expression" dxfId="10912" priority="907">
      <formula>$E5=""</formula>
    </cfRule>
  </conditionalFormatting>
  <conditionalFormatting sqref="J5:J11 J50:J51 L5:M11 L50:M51">
    <cfRule type="expression" dxfId="10911" priority="906">
      <formula>$E5=""</formula>
    </cfRule>
  </conditionalFormatting>
  <conditionalFormatting sqref="J5:J11 J50:J51 L5:M11 L50:M51">
    <cfRule type="expression" dxfId="10910" priority="905">
      <formula>$E5=""</formula>
    </cfRule>
  </conditionalFormatting>
  <conditionalFormatting sqref="M5:M11 M50:M51">
    <cfRule type="expression" dxfId="10909" priority="904">
      <formula>$C5&lt;$E$3</formula>
    </cfRule>
  </conditionalFormatting>
  <conditionalFormatting sqref="M5:M11 M50:M51">
    <cfRule type="expression" dxfId="10908" priority="900">
      <formula>$C5=$E$3</formula>
    </cfRule>
    <cfRule type="expression" dxfId="10907" priority="901">
      <formula>$C5&lt;$E$3</formula>
    </cfRule>
    <cfRule type="cellIs" dxfId="10906" priority="902" operator="equal">
      <formula>0</formula>
    </cfRule>
    <cfRule type="expression" dxfId="10905" priority="903">
      <formula>$C5&gt;$E$3</formula>
    </cfRule>
  </conditionalFormatting>
  <conditionalFormatting sqref="M5:M11 M50:M51">
    <cfRule type="expression" dxfId="10904" priority="899">
      <formula>$C5&lt;$E$3</formula>
    </cfRule>
  </conditionalFormatting>
  <conditionalFormatting sqref="M5:M11 M50:M51">
    <cfRule type="expression" dxfId="10903" priority="895">
      <formula>$C5=$E$3</formula>
    </cfRule>
    <cfRule type="expression" dxfId="10902" priority="896">
      <formula>$C5&lt;$E$3</formula>
    </cfRule>
    <cfRule type="cellIs" dxfId="10901" priority="897" operator="equal">
      <formula>0</formula>
    </cfRule>
    <cfRule type="expression" dxfId="10900" priority="898">
      <formula>$C5&gt;$E$3</formula>
    </cfRule>
  </conditionalFormatting>
  <conditionalFormatting sqref="M5:M11 M50:M51">
    <cfRule type="expression" dxfId="10899" priority="894">
      <formula>$C5&lt;$E$3</formula>
    </cfRule>
  </conditionalFormatting>
  <conditionalFormatting sqref="M5:M11 M50:M51">
    <cfRule type="expression" dxfId="10898" priority="890">
      <formula>$C5=$E$3</formula>
    </cfRule>
    <cfRule type="expression" dxfId="10897" priority="891">
      <formula>$C5&lt;$E$3</formula>
    </cfRule>
    <cfRule type="cellIs" dxfId="10896" priority="892" operator="equal">
      <formula>0</formula>
    </cfRule>
    <cfRule type="expression" dxfId="10895" priority="893">
      <formula>$C5&gt;$E$3</formula>
    </cfRule>
  </conditionalFormatting>
  <conditionalFormatting sqref="M5:M11 M50:M51">
    <cfRule type="expression" dxfId="10894" priority="889">
      <formula>$C5&lt;$E$3</formula>
    </cfRule>
  </conditionalFormatting>
  <conditionalFormatting sqref="M5:M11 M50:M51">
    <cfRule type="expression" dxfId="10893" priority="885">
      <formula>$C5=$E$3</formula>
    </cfRule>
    <cfRule type="expression" dxfId="10892" priority="886">
      <formula>$C5&lt;$E$3</formula>
    </cfRule>
    <cfRule type="cellIs" dxfId="10891" priority="887" operator="equal">
      <formula>0</formula>
    </cfRule>
    <cfRule type="expression" dxfId="10890" priority="888">
      <formula>$C5&gt;$E$3</formula>
    </cfRule>
  </conditionalFormatting>
  <conditionalFormatting sqref="M5:M11 M50:M51">
    <cfRule type="expression" dxfId="10889" priority="884">
      <formula>$E5=""</formula>
    </cfRule>
  </conditionalFormatting>
  <conditionalFormatting sqref="M5:M11 M50:M51">
    <cfRule type="expression" dxfId="10888" priority="883">
      <formula>$C5&lt;$E$3</formula>
    </cfRule>
  </conditionalFormatting>
  <conditionalFormatting sqref="M5:M11 M50:M51">
    <cfRule type="expression" dxfId="10887" priority="882">
      <formula>$E5=""</formula>
    </cfRule>
  </conditionalFormatting>
  <conditionalFormatting sqref="M5:M11 M50:M51">
    <cfRule type="expression" dxfId="10886" priority="881">
      <formula>$E5=""</formula>
    </cfRule>
  </conditionalFormatting>
  <conditionalFormatting sqref="M5:M11 M50:M51">
    <cfRule type="expression" dxfId="10885" priority="880">
      <formula>$C5&lt;$E$3</formula>
    </cfRule>
  </conditionalFormatting>
  <conditionalFormatting sqref="M5:M11 M50:M51">
    <cfRule type="expression" dxfId="10884" priority="879">
      <formula>$E5=""</formula>
    </cfRule>
  </conditionalFormatting>
  <conditionalFormatting sqref="M5:M11 M50:M51">
    <cfRule type="expression" dxfId="10883" priority="878">
      <formula>$C5&lt;$E$3</formula>
    </cfRule>
  </conditionalFormatting>
  <conditionalFormatting sqref="M5:M11 M50:M51">
    <cfRule type="expression" dxfId="10882" priority="877">
      <formula>$E5=""</formula>
    </cfRule>
  </conditionalFormatting>
  <conditionalFormatting sqref="M5:M11 M50:M51">
    <cfRule type="expression" dxfId="10881" priority="876">
      <formula>$C5&lt;$E$3</formula>
    </cfRule>
  </conditionalFormatting>
  <conditionalFormatting sqref="M5:M11 M50:M51">
    <cfRule type="expression" dxfId="10880" priority="875">
      <formula>$E5=""</formula>
    </cfRule>
  </conditionalFormatting>
  <conditionalFormatting sqref="M5:M11 M50:M51">
    <cfRule type="expression" dxfId="10879" priority="874">
      <formula>$C5&lt;$E$3</formula>
    </cfRule>
  </conditionalFormatting>
  <conditionalFormatting sqref="M5:M11 M50:M51">
    <cfRule type="expression" dxfId="10878" priority="870">
      <formula>$C5=$E$3</formula>
    </cfRule>
    <cfRule type="expression" dxfId="10877" priority="871">
      <formula>$C5&lt;$E$3</formula>
    </cfRule>
    <cfRule type="cellIs" dxfId="10876" priority="872" operator="equal">
      <formula>0</formula>
    </cfRule>
    <cfRule type="expression" dxfId="10875" priority="873">
      <formula>$C5&gt;$E$3</formula>
    </cfRule>
  </conditionalFormatting>
  <conditionalFormatting sqref="M5:M11 M50:M51">
    <cfRule type="expression" dxfId="10874" priority="869">
      <formula>$C5&lt;$E$3</formula>
    </cfRule>
  </conditionalFormatting>
  <conditionalFormatting sqref="M5:M11 M50:M51">
    <cfRule type="expression" dxfId="10873" priority="865">
      <formula>$C5=$E$3</formula>
    </cfRule>
    <cfRule type="expression" dxfId="10872" priority="866">
      <formula>$C5&lt;$E$3</formula>
    </cfRule>
    <cfRule type="cellIs" dxfId="10871" priority="867" operator="equal">
      <formula>0</formula>
    </cfRule>
    <cfRule type="expression" dxfId="10870" priority="868">
      <formula>$C5&gt;$E$3</formula>
    </cfRule>
  </conditionalFormatting>
  <conditionalFormatting sqref="M5:M11 M50:M51">
    <cfRule type="expression" dxfId="10869" priority="864">
      <formula>$C5&lt;$E$3</formula>
    </cfRule>
  </conditionalFormatting>
  <conditionalFormatting sqref="M5:M11 M50:M51">
    <cfRule type="expression" dxfId="10868" priority="860">
      <formula>$C5=$E$3</formula>
    </cfRule>
    <cfRule type="expression" dxfId="10867" priority="861">
      <formula>$C5&lt;$E$3</formula>
    </cfRule>
    <cfRule type="cellIs" dxfId="10866" priority="862" operator="equal">
      <formula>0</formula>
    </cfRule>
    <cfRule type="expression" dxfId="10865" priority="863">
      <formula>$C5&gt;$E$3</formula>
    </cfRule>
  </conditionalFormatting>
  <conditionalFormatting sqref="M5:M11 M50:M51">
    <cfRule type="expression" dxfId="10864" priority="859">
      <formula>$C5&lt;$E$3</formula>
    </cfRule>
  </conditionalFormatting>
  <conditionalFormatting sqref="M5:M11 M50:M51">
    <cfRule type="expression" dxfId="10863" priority="855">
      <formula>$C5=$E$3</formula>
    </cfRule>
    <cfRule type="expression" dxfId="10862" priority="856">
      <formula>$C5&lt;$E$3</formula>
    </cfRule>
    <cfRule type="cellIs" dxfId="10861" priority="857" operator="equal">
      <formula>0</formula>
    </cfRule>
    <cfRule type="expression" dxfId="10860" priority="858">
      <formula>$C5&gt;$E$3</formula>
    </cfRule>
  </conditionalFormatting>
  <conditionalFormatting sqref="M5:M11 M50:M51">
    <cfRule type="expression" dxfId="10859" priority="854">
      <formula>$E5=""</formula>
    </cfRule>
  </conditionalFormatting>
  <conditionalFormatting sqref="M5:M11 M50:M51">
    <cfRule type="expression" dxfId="10858" priority="853">
      <formula>$C5&lt;$E$3</formula>
    </cfRule>
  </conditionalFormatting>
  <conditionalFormatting sqref="M5:M11 M50:M51">
    <cfRule type="expression" dxfId="10857" priority="852">
      <formula>$E5=""</formula>
    </cfRule>
  </conditionalFormatting>
  <conditionalFormatting sqref="M5:M11 M50:M51">
    <cfRule type="expression" dxfId="10856" priority="851">
      <formula>$E5=""</formula>
    </cfRule>
  </conditionalFormatting>
  <conditionalFormatting sqref="M5:M11 M50:M51">
    <cfRule type="expression" dxfId="10855" priority="850">
      <formula>$C5&lt;$E$3</formula>
    </cfRule>
  </conditionalFormatting>
  <conditionalFormatting sqref="M5:M11 M50:M51">
    <cfRule type="expression" dxfId="10854" priority="849">
      <formula>$E5=""</formula>
    </cfRule>
  </conditionalFormatting>
  <conditionalFormatting sqref="M5:M11 M50:M51">
    <cfRule type="expression" dxfId="10853" priority="848">
      <formula>$C5&lt;$E$3</formula>
    </cfRule>
  </conditionalFormatting>
  <conditionalFormatting sqref="M5:M11 M50:M51">
    <cfRule type="expression" dxfId="10852" priority="847">
      <formula>$E5=""</formula>
    </cfRule>
  </conditionalFormatting>
  <conditionalFormatting sqref="M5:M11 M50:M51">
    <cfRule type="expression" dxfId="10851" priority="846">
      <formula>$C5&lt;$E$3</formula>
    </cfRule>
  </conditionalFormatting>
  <conditionalFormatting sqref="M5:M11 M50:M51">
    <cfRule type="expression" dxfId="10850" priority="845">
      <formula>$E5=""</formula>
    </cfRule>
  </conditionalFormatting>
  <conditionalFormatting sqref="K10">
    <cfRule type="expression" dxfId="10849" priority="844">
      <formula>$C10&lt;$E$3</formula>
    </cfRule>
  </conditionalFormatting>
  <conditionalFormatting sqref="K10">
    <cfRule type="expression" dxfId="10848" priority="840">
      <formula>$C10=$E$3</formula>
    </cfRule>
    <cfRule type="expression" dxfId="10847" priority="841">
      <formula>$C10&lt;$E$3</formula>
    </cfRule>
    <cfRule type="cellIs" dxfId="10846" priority="842" operator="equal">
      <formula>0</formula>
    </cfRule>
    <cfRule type="expression" dxfId="10845" priority="843">
      <formula>$C10&gt;$E$3</formula>
    </cfRule>
  </conditionalFormatting>
  <conditionalFormatting sqref="K10">
    <cfRule type="expression" dxfId="10844" priority="839">
      <formula>$C10&lt;$E$3</formula>
    </cfRule>
  </conditionalFormatting>
  <conditionalFormatting sqref="K10">
    <cfRule type="expression" dxfId="10843" priority="835">
      <formula>$C10=$E$3</formula>
    </cfRule>
    <cfRule type="expression" dxfId="10842" priority="836">
      <formula>$C10&lt;$E$3</formula>
    </cfRule>
    <cfRule type="cellIs" dxfId="10841" priority="837" operator="equal">
      <formula>0</formula>
    </cfRule>
    <cfRule type="expression" dxfId="10840" priority="838">
      <formula>$C10&gt;$E$3</formula>
    </cfRule>
  </conditionalFormatting>
  <conditionalFormatting sqref="K10">
    <cfRule type="expression" dxfId="10839" priority="834">
      <formula>$C10&lt;$E$3</formula>
    </cfRule>
  </conditionalFormatting>
  <conditionalFormatting sqref="K10">
    <cfRule type="expression" dxfId="10838" priority="830">
      <formula>$C10=$E$3</formula>
    </cfRule>
    <cfRule type="expression" dxfId="10837" priority="831">
      <formula>$C10&lt;$E$3</formula>
    </cfRule>
    <cfRule type="cellIs" dxfId="10836" priority="832" operator="equal">
      <formula>0</formula>
    </cfRule>
    <cfRule type="expression" dxfId="10835" priority="833">
      <formula>$C10&gt;$E$3</formula>
    </cfRule>
  </conditionalFormatting>
  <conditionalFormatting sqref="K10">
    <cfRule type="expression" dxfId="10834" priority="829">
      <formula>$C10&lt;$E$3</formula>
    </cfRule>
  </conditionalFormatting>
  <conditionalFormatting sqref="K10">
    <cfRule type="expression" dxfId="10833" priority="825">
      <formula>$C10=$E$3</formula>
    </cfRule>
    <cfRule type="expression" dxfId="10832" priority="826">
      <formula>$C10&lt;$E$3</formula>
    </cfRule>
    <cfRule type="cellIs" dxfId="10831" priority="827" operator="equal">
      <formula>0</formula>
    </cfRule>
    <cfRule type="expression" dxfId="10830" priority="828">
      <formula>$C10&gt;$E$3</formula>
    </cfRule>
  </conditionalFormatting>
  <conditionalFormatting sqref="K10">
    <cfRule type="expression" dxfId="10829" priority="824">
      <formula>$E10=""</formula>
    </cfRule>
  </conditionalFormatting>
  <conditionalFormatting sqref="K10">
    <cfRule type="expression" dxfId="10828" priority="823">
      <formula>$C10&lt;$E$3</formula>
    </cfRule>
  </conditionalFormatting>
  <conditionalFormatting sqref="K10">
    <cfRule type="expression" dxfId="10827" priority="822">
      <formula>$E10=""</formula>
    </cfRule>
  </conditionalFormatting>
  <conditionalFormatting sqref="K10">
    <cfRule type="expression" dxfId="10826" priority="821">
      <formula>$E10=""</formula>
    </cfRule>
  </conditionalFormatting>
  <conditionalFormatting sqref="K10">
    <cfRule type="expression" dxfId="10825" priority="820">
      <formula>$C10&lt;$E$3</formula>
    </cfRule>
  </conditionalFormatting>
  <conditionalFormatting sqref="K10">
    <cfRule type="expression" dxfId="10824" priority="819">
      <formula>$E10=""</formula>
    </cfRule>
  </conditionalFormatting>
  <conditionalFormatting sqref="K10">
    <cfRule type="expression" dxfId="10823" priority="818">
      <formula>$C10&lt;$E$3</formula>
    </cfRule>
  </conditionalFormatting>
  <conditionalFormatting sqref="K10">
    <cfRule type="expression" dxfId="10822" priority="817">
      <formula>$E10=""</formula>
    </cfRule>
  </conditionalFormatting>
  <conditionalFormatting sqref="K10">
    <cfRule type="expression" dxfId="10821" priority="816">
      <formula>$C10&lt;$E$3</formula>
    </cfRule>
  </conditionalFormatting>
  <conditionalFormatting sqref="K10">
    <cfRule type="expression" dxfId="10820" priority="815">
      <formula>$E10=""</formula>
    </cfRule>
  </conditionalFormatting>
  <conditionalFormatting sqref="K10">
    <cfRule type="expression" dxfId="10819" priority="814">
      <formula>$C10&lt;$E$3</formula>
    </cfRule>
  </conditionalFormatting>
  <conditionalFormatting sqref="K10">
    <cfRule type="expression" dxfId="10818" priority="810">
      <formula>$C10=$E$3</formula>
    </cfRule>
    <cfRule type="expression" dxfId="10817" priority="811">
      <formula>$C10&lt;$E$3</formula>
    </cfRule>
    <cfRule type="cellIs" dxfId="10816" priority="812" operator="equal">
      <formula>0</formula>
    </cfRule>
    <cfRule type="expression" dxfId="10815" priority="813">
      <formula>$C10&gt;$E$3</formula>
    </cfRule>
  </conditionalFormatting>
  <conditionalFormatting sqref="K10">
    <cfRule type="expression" dxfId="10814" priority="809">
      <formula>$C10&lt;$E$3</formula>
    </cfRule>
  </conditionalFormatting>
  <conditionalFormatting sqref="K10">
    <cfRule type="expression" dxfId="10813" priority="805">
      <formula>$C10=$E$3</formula>
    </cfRule>
    <cfRule type="expression" dxfId="10812" priority="806">
      <formula>$C10&lt;$E$3</formula>
    </cfRule>
    <cfRule type="cellIs" dxfId="10811" priority="807" operator="equal">
      <formula>0</formula>
    </cfRule>
    <cfRule type="expression" dxfId="10810" priority="808">
      <formula>$C10&gt;$E$3</formula>
    </cfRule>
  </conditionalFormatting>
  <conditionalFormatting sqref="K10">
    <cfRule type="expression" dxfId="10809" priority="804">
      <formula>$C10&lt;$E$3</formula>
    </cfRule>
  </conditionalFormatting>
  <conditionalFormatting sqref="K10">
    <cfRule type="expression" dxfId="10808" priority="800">
      <formula>$C10=$E$3</formula>
    </cfRule>
    <cfRule type="expression" dxfId="10807" priority="801">
      <formula>$C10&lt;$E$3</formula>
    </cfRule>
    <cfRule type="cellIs" dxfId="10806" priority="802" operator="equal">
      <formula>0</formula>
    </cfRule>
    <cfRule type="expression" dxfId="10805" priority="803">
      <formula>$C10&gt;$E$3</formula>
    </cfRule>
  </conditionalFormatting>
  <conditionalFormatting sqref="K10">
    <cfRule type="expression" dxfId="10804" priority="799">
      <formula>$C10&lt;$E$3</formula>
    </cfRule>
  </conditionalFormatting>
  <conditionalFormatting sqref="K10">
    <cfRule type="expression" dxfId="10803" priority="795">
      <formula>$C10=$E$3</formula>
    </cfRule>
    <cfRule type="expression" dxfId="10802" priority="796">
      <formula>$C10&lt;$E$3</formula>
    </cfRule>
    <cfRule type="cellIs" dxfId="10801" priority="797" operator="equal">
      <formula>0</formula>
    </cfRule>
    <cfRule type="expression" dxfId="10800" priority="798">
      <formula>$C10&gt;$E$3</formula>
    </cfRule>
  </conditionalFormatting>
  <conditionalFormatting sqref="K10">
    <cfRule type="expression" dxfId="10799" priority="794">
      <formula>$E10=""</formula>
    </cfRule>
  </conditionalFormatting>
  <conditionalFormatting sqref="K10">
    <cfRule type="expression" dxfId="10798" priority="793">
      <formula>$C10&lt;$E$3</formula>
    </cfRule>
  </conditionalFormatting>
  <conditionalFormatting sqref="K10">
    <cfRule type="expression" dxfId="10797" priority="792">
      <formula>$E10=""</formula>
    </cfRule>
  </conditionalFormatting>
  <conditionalFormatting sqref="K10">
    <cfRule type="expression" dxfId="10796" priority="791">
      <formula>$E10=""</formula>
    </cfRule>
  </conditionalFormatting>
  <conditionalFormatting sqref="K10">
    <cfRule type="expression" dxfId="10795" priority="790">
      <formula>$C10&lt;$E$3</formula>
    </cfRule>
  </conditionalFormatting>
  <conditionalFormatting sqref="K10">
    <cfRule type="expression" dxfId="10794" priority="789">
      <formula>$E10=""</formula>
    </cfRule>
  </conditionalFormatting>
  <conditionalFormatting sqref="K10">
    <cfRule type="expression" dxfId="10793" priority="788">
      <formula>$C10&lt;$E$3</formula>
    </cfRule>
  </conditionalFormatting>
  <conditionalFormatting sqref="K10">
    <cfRule type="expression" dxfId="10792" priority="787">
      <formula>$E10=""</formula>
    </cfRule>
  </conditionalFormatting>
  <conditionalFormatting sqref="K10">
    <cfRule type="expression" dxfId="10791" priority="786">
      <formula>$C10&lt;$E$3</formula>
    </cfRule>
  </conditionalFormatting>
  <conditionalFormatting sqref="K10">
    <cfRule type="expression" dxfId="10790" priority="785">
      <formula>$E10=""</formula>
    </cfRule>
  </conditionalFormatting>
  <conditionalFormatting sqref="K5:K9">
    <cfRule type="expression" dxfId="10789" priority="784">
      <formula>$C5&lt;$E$3</formula>
    </cfRule>
  </conditionalFormatting>
  <conditionalFormatting sqref="K5:K9">
    <cfRule type="expression" dxfId="10788" priority="780">
      <formula>$C5=$E$3</formula>
    </cfRule>
    <cfRule type="expression" dxfId="10787" priority="781">
      <formula>$C5&lt;$E$3</formula>
    </cfRule>
    <cfRule type="cellIs" dxfId="10786" priority="782" operator="equal">
      <formula>0</formula>
    </cfRule>
    <cfRule type="expression" dxfId="10785" priority="783">
      <formula>$C5&gt;$E$3</formula>
    </cfRule>
  </conditionalFormatting>
  <conditionalFormatting sqref="K5:K9">
    <cfRule type="expression" dxfId="10784" priority="779">
      <formula>$C5&lt;$E$3</formula>
    </cfRule>
  </conditionalFormatting>
  <conditionalFormatting sqref="K5:K9">
    <cfRule type="expression" dxfId="10783" priority="775">
      <formula>$C5=$E$3</formula>
    </cfRule>
    <cfRule type="expression" dxfId="10782" priority="776">
      <formula>$C5&lt;$E$3</formula>
    </cfRule>
    <cfRule type="cellIs" dxfId="10781" priority="777" operator="equal">
      <formula>0</formula>
    </cfRule>
    <cfRule type="expression" dxfId="10780" priority="778">
      <formula>$C5&gt;$E$3</formula>
    </cfRule>
  </conditionalFormatting>
  <conditionalFormatting sqref="K5:K9">
    <cfRule type="expression" dxfId="10779" priority="774">
      <formula>$C5&lt;$E$3</formula>
    </cfRule>
  </conditionalFormatting>
  <conditionalFormatting sqref="K5:K9">
    <cfRule type="expression" dxfId="10778" priority="770">
      <formula>$C5=$E$3</formula>
    </cfRule>
    <cfRule type="expression" dxfId="10777" priority="771">
      <formula>$C5&lt;$E$3</formula>
    </cfRule>
    <cfRule type="cellIs" dxfId="10776" priority="772" operator="equal">
      <formula>0</formula>
    </cfRule>
    <cfRule type="expression" dxfId="10775" priority="773">
      <formula>$C5&gt;$E$3</formula>
    </cfRule>
  </conditionalFormatting>
  <conditionalFormatting sqref="K5:K9">
    <cfRule type="expression" dxfId="10774" priority="769">
      <formula>$C5&lt;$E$3</formula>
    </cfRule>
  </conditionalFormatting>
  <conditionalFormatting sqref="K5:K9">
    <cfRule type="expression" dxfId="10773" priority="765">
      <formula>$C5=$E$3</formula>
    </cfRule>
    <cfRule type="expression" dxfId="10772" priority="766">
      <formula>$C5&lt;$E$3</formula>
    </cfRule>
    <cfRule type="cellIs" dxfId="10771" priority="767" operator="equal">
      <formula>0</formula>
    </cfRule>
    <cfRule type="expression" dxfId="10770" priority="768">
      <formula>$C5&gt;$E$3</formula>
    </cfRule>
  </conditionalFormatting>
  <conditionalFormatting sqref="K5:K9">
    <cfRule type="expression" dxfId="10769" priority="764">
      <formula>$E5=""</formula>
    </cfRule>
  </conditionalFormatting>
  <conditionalFormatting sqref="K5:K9">
    <cfRule type="expression" dxfId="10768" priority="763">
      <formula>$C5&lt;$E$3</formula>
    </cfRule>
  </conditionalFormatting>
  <conditionalFormatting sqref="K5:K9">
    <cfRule type="expression" dxfId="10767" priority="762">
      <formula>$E5=""</formula>
    </cfRule>
  </conditionalFormatting>
  <conditionalFormatting sqref="K5:K9">
    <cfRule type="expression" dxfId="10766" priority="761">
      <formula>$E5=""</formula>
    </cfRule>
  </conditionalFormatting>
  <conditionalFormatting sqref="K5:K9">
    <cfRule type="expression" dxfId="10765" priority="760">
      <formula>$C5&lt;$E$3</formula>
    </cfRule>
  </conditionalFormatting>
  <conditionalFormatting sqref="K5:K9">
    <cfRule type="expression" dxfId="10764" priority="759">
      <formula>$E5=""</formula>
    </cfRule>
  </conditionalFormatting>
  <conditionalFormatting sqref="K5:K9">
    <cfRule type="expression" dxfId="10763" priority="758">
      <formula>$C5&lt;$E$3</formula>
    </cfRule>
  </conditionalFormatting>
  <conditionalFormatting sqref="K5:K9">
    <cfRule type="expression" dxfId="10762" priority="757">
      <formula>$E5=""</formula>
    </cfRule>
  </conditionalFormatting>
  <conditionalFormatting sqref="K5:K9">
    <cfRule type="expression" dxfId="10761" priority="756">
      <formula>$C5&lt;$E$3</formula>
    </cfRule>
  </conditionalFormatting>
  <conditionalFormatting sqref="K5:K9">
    <cfRule type="expression" dxfId="10760" priority="755">
      <formula>$E5=""</formula>
    </cfRule>
  </conditionalFormatting>
  <conditionalFormatting sqref="K5:K9">
    <cfRule type="expression" dxfId="10759" priority="754">
      <formula>$C5&lt;$E$3</formula>
    </cfRule>
  </conditionalFormatting>
  <conditionalFormatting sqref="K5:K9">
    <cfRule type="expression" dxfId="10758" priority="750">
      <formula>$C5=$E$3</formula>
    </cfRule>
    <cfRule type="expression" dxfId="10757" priority="751">
      <formula>$C5&lt;$E$3</formula>
    </cfRule>
    <cfRule type="cellIs" dxfId="10756" priority="752" operator="equal">
      <formula>0</formula>
    </cfRule>
    <cfRule type="expression" dxfId="10755" priority="753">
      <formula>$C5&gt;$E$3</formula>
    </cfRule>
  </conditionalFormatting>
  <conditionalFormatting sqref="K5:K9">
    <cfRule type="expression" dxfId="10754" priority="749">
      <formula>$C5&lt;$E$3</formula>
    </cfRule>
  </conditionalFormatting>
  <conditionalFormatting sqref="K5:K9">
    <cfRule type="expression" dxfId="10753" priority="745">
      <formula>$C5=$E$3</formula>
    </cfRule>
    <cfRule type="expression" dxfId="10752" priority="746">
      <formula>$C5&lt;$E$3</formula>
    </cfRule>
    <cfRule type="cellIs" dxfId="10751" priority="747" operator="equal">
      <formula>0</formula>
    </cfRule>
    <cfRule type="expression" dxfId="10750" priority="748">
      <formula>$C5&gt;$E$3</formula>
    </cfRule>
  </conditionalFormatting>
  <conditionalFormatting sqref="K5:K9">
    <cfRule type="expression" dxfId="10749" priority="744">
      <formula>$C5&lt;$E$3</formula>
    </cfRule>
  </conditionalFormatting>
  <conditionalFormatting sqref="K5:K9">
    <cfRule type="expression" dxfId="10748" priority="740">
      <formula>$C5=$E$3</formula>
    </cfRule>
    <cfRule type="expression" dxfId="10747" priority="741">
      <formula>$C5&lt;$E$3</formula>
    </cfRule>
    <cfRule type="cellIs" dxfId="10746" priority="742" operator="equal">
      <formula>0</formula>
    </cfRule>
    <cfRule type="expression" dxfId="10745" priority="743">
      <formula>$C5&gt;$E$3</formula>
    </cfRule>
  </conditionalFormatting>
  <conditionalFormatting sqref="K5:K9">
    <cfRule type="expression" dxfId="10744" priority="739">
      <formula>$C5&lt;$E$3</formula>
    </cfRule>
  </conditionalFormatting>
  <conditionalFormatting sqref="K5:K9">
    <cfRule type="expression" dxfId="10743" priority="735">
      <formula>$C5=$E$3</formula>
    </cfRule>
    <cfRule type="expression" dxfId="10742" priority="736">
      <formula>$C5&lt;$E$3</formula>
    </cfRule>
    <cfRule type="cellIs" dxfId="10741" priority="737" operator="equal">
      <formula>0</formula>
    </cfRule>
    <cfRule type="expression" dxfId="10740" priority="738">
      <formula>$C5&gt;$E$3</formula>
    </cfRule>
  </conditionalFormatting>
  <conditionalFormatting sqref="K5:K9">
    <cfRule type="expression" dxfId="10739" priority="734">
      <formula>$E5=""</formula>
    </cfRule>
  </conditionalFormatting>
  <conditionalFormatting sqref="K5:K9">
    <cfRule type="expression" dxfId="10738" priority="733">
      <formula>$C5&lt;$E$3</formula>
    </cfRule>
  </conditionalFormatting>
  <conditionalFormatting sqref="K5:K9">
    <cfRule type="expression" dxfId="10737" priority="732">
      <formula>$E5=""</formula>
    </cfRule>
  </conditionalFormatting>
  <conditionalFormatting sqref="K5:K9">
    <cfRule type="expression" dxfId="10736" priority="731">
      <formula>$E5=""</formula>
    </cfRule>
  </conditionalFormatting>
  <conditionalFormatting sqref="K5:K9">
    <cfRule type="expression" dxfId="10735" priority="730">
      <formula>$C5&lt;$E$3</formula>
    </cfRule>
  </conditionalFormatting>
  <conditionalFormatting sqref="K5:K9">
    <cfRule type="expression" dxfId="10734" priority="729">
      <formula>$E5=""</formula>
    </cfRule>
  </conditionalFormatting>
  <conditionalFormatting sqref="K5:K9">
    <cfRule type="expression" dxfId="10733" priority="728">
      <formula>$C5&lt;$E$3</formula>
    </cfRule>
  </conditionalFormatting>
  <conditionalFormatting sqref="K5:K9">
    <cfRule type="expression" dxfId="10732" priority="727">
      <formula>$E5=""</formula>
    </cfRule>
  </conditionalFormatting>
  <conditionalFormatting sqref="K5:K9">
    <cfRule type="expression" dxfId="10731" priority="726">
      <formula>$C5&lt;$E$3</formula>
    </cfRule>
  </conditionalFormatting>
  <conditionalFormatting sqref="K5:K9">
    <cfRule type="expression" dxfId="10730" priority="725">
      <formula>$E5=""</formula>
    </cfRule>
  </conditionalFormatting>
  <conditionalFormatting sqref="K5:K11">
    <cfRule type="expression" dxfId="10729" priority="723">
      <formula>$C5&lt;$E$3</formula>
    </cfRule>
  </conditionalFormatting>
  <conditionalFormatting sqref="K5:K11">
    <cfRule type="expression" dxfId="10728" priority="720">
      <formula>$C5=$E$3</formula>
    </cfRule>
    <cfRule type="expression" dxfId="10727" priority="721">
      <formula>$C5&lt;$E$3</formula>
    </cfRule>
    <cfRule type="cellIs" dxfId="10726" priority="722" operator="equal">
      <formula>0</formula>
    </cfRule>
    <cfRule type="expression" dxfId="10725" priority="724">
      <formula>$C5&gt;$E$3</formula>
    </cfRule>
  </conditionalFormatting>
  <conditionalFormatting sqref="K5:K11">
    <cfRule type="expression" dxfId="10724" priority="719">
      <formula>$E5=""</formula>
    </cfRule>
  </conditionalFormatting>
  <conditionalFormatting sqref="K5:K11">
    <cfRule type="expression" dxfId="10723" priority="718">
      <formula>$E5=""</formula>
    </cfRule>
  </conditionalFormatting>
  <conditionalFormatting sqref="K5:K11">
    <cfRule type="expression" dxfId="10722" priority="717">
      <formula>$E5=""</formula>
    </cfRule>
  </conditionalFormatting>
  <conditionalFormatting sqref="K50:K51">
    <cfRule type="expression" dxfId="10721" priority="715">
      <formula>$C50&lt;$E$3</formula>
    </cfRule>
  </conditionalFormatting>
  <conditionalFormatting sqref="K50:K51">
    <cfRule type="expression" dxfId="10720" priority="712">
      <formula>$C50=$E$3</formula>
    </cfRule>
    <cfRule type="expression" dxfId="10719" priority="713">
      <formula>$C50&lt;$E$3</formula>
    </cfRule>
    <cfRule type="cellIs" dxfId="10718" priority="714" operator="equal">
      <formula>0</formula>
    </cfRule>
    <cfRule type="expression" dxfId="10717" priority="716">
      <formula>$C50&gt;$E$3</formula>
    </cfRule>
  </conditionalFormatting>
  <conditionalFormatting sqref="K50:K51">
    <cfRule type="expression" dxfId="10716" priority="711">
      <formula>$E50=""</formula>
    </cfRule>
  </conditionalFormatting>
  <conditionalFormatting sqref="K50:K51">
    <cfRule type="expression" dxfId="10715" priority="710">
      <formula>$E50=""</formula>
    </cfRule>
  </conditionalFormatting>
  <conditionalFormatting sqref="K50:K51">
    <cfRule type="expression" dxfId="10714" priority="709">
      <formula>$E50=""</formula>
    </cfRule>
  </conditionalFormatting>
  <conditionalFormatting sqref="K50:K51">
    <cfRule type="cellIs" dxfId="10713" priority="708" stopIfTrue="1" operator="lessThan">
      <formula>0</formula>
    </cfRule>
  </conditionalFormatting>
  <conditionalFormatting sqref="K50:K51">
    <cfRule type="expression" dxfId="10712" priority="706">
      <formula>$C50&lt;$E$3</formula>
    </cfRule>
  </conditionalFormatting>
  <conditionalFormatting sqref="K50:K51">
    <cfRule type="expression" dxfId="10711" priority="703">
      <formula>$C50=$E$3</formula>
    </cfRule>
    <cfRule type="expression" dxfId="10710" priority="704">
      <formula>$C50&lt;$E$3</formula>
    </cfRule>
    <cfRule type="cellIs" dxfId="10709" priority="705" operator="equal">
      <formula>0</formula>
    </cfRule>
    <cfRule type="expression" dxfId="10708" priority="707">
      <formula>$C50&gt;$E$3</formula>
    </cfRule>
  </conditionalFormatting>
  <conditionalFormatting sqref="K50:K51">
    <cfRule type="expression" dxfId="10707" priority="702">
      <formula>$E50=""</formula>
    </cfRule>
  </conditionalFormatting>
  <conditionalFormatting sqref="K50:K51">
    <cfRule type="expression" dxfId="10706" priority="701">
      <formula>$E50=""</formula>
    </cfRule>
  </conditionalFormatting>
  <conditionalFormatting sqref="K50:K51">
    <cfRule type="expression" dxfId="10705" priority="700">
      <formula>$E50=""</formula>
    </cfRule>
  </conditionalFormatting>
  <conditionalFormatting sqref="K50:K51">
    <cfRule type="cellIs" dxfId="10704" priority="698" stopIfTrue="1" operator="lessThan">
      <formula>0</formula>
    </cfRule>
  </conditionalFormatting>
  <conditionalFormatting sqref="K50:K51">
    <cfRule type="cellIs" dxfId="10703" priority="697" stopIfTrue="1" operator="lessThan">
      <formula>0</formula>
    </cfRule>
  </conditionalFormatting>
  <conditionalFormatting sqref="K50:K51">
    <cfRule type="cellIs" dxfId="10702" priority="696" stopIfTrue="1" operator="lessThan">
      <formula>0</formula>
    </cfRule>
  </conditionalFormatting>
  <conditionalFormatting sqref="K50:K51">
    <cfRule type="expression" dxfId="10701" priority="695">
      <formula>$C50&lt;$E$3</formula>
    </cfRule>
  </conditionalFormatting>
  <conditionalFormatting sqref="K50:K51">
    <cfRule type="expression" dxfId="10700" priority="691">
      <formula>$C50=$E$3</formula>
    </cfRule>
    <cfRule type="expression" dxfId="10699" priority="692">
      <formula>$C50&lt;$E$3</formula>
    </cfRule>
    <cfRule type="cellIs" dxfId="10698" priority="693" operator="equal">
      <formula>0</formula>
    </cfRule>
    <cfRule type="expression" dxfId="10697" priority="694">
      <formula>$C50&gt;$E$3</formula>
    </cfRule>
  </conditionalFormatting>
  <conditionalFormatting sqref="K50:K51">
    <cfRule type="expression" dxfId="10696" priority="690">
      <formula>$C50&lt;$E$3</formula>
    </cfRule>
  </conditionalFormatting>
  <conditionalFormatting sqref="K50:K51">
    <cfRule type="expression" dxfId="10695" priority="686">
      <formula>$C50=$E$3</formula>
    </cfRule>
    <cfRule type="expression" dxfId="10694" priority="687">
      <formula>$C50&lt;$E$3</formula>
    </cfRule>
    <cfRule type="cellIs" dxfId="10693" priority="688" operator="equal">
      <formula>0</formula>
    </cfRule>
    <cfRule type="expression" dxfId="10692" priority="689">
      <formula>$C50&gt;$E$3</formula>
    </cfRule>
  </conditionalFormatting>
  <conditionalFormatting sqref="K50:K51">
    <cfRule type="expression" dxfId="10691" priority="685">
      <formula>$C50&lt;$E$3</formula>
    </cfRule>
  </conditionalFormatting>
  <conditionalFormatting sqref="K50:K51">
    <cfRule type="expression" dxfId="10690" priority="681">
      <formula>$C50=$E$3</formula>
    </cfRule>
    <cfRule type="expression" dxfId="10689" priority="682">
      <formula>$C50&lt;$E$3</formula>
    </cfRule>
    <cfRule type="cellIs" dxfId="10688" priority="683" operator="equal">
      <formula>0</formula>
    </cfRule>
    <cfRule type="expression" dxfId="10687" priority="684">
      <formula>$C50&gt;$E$3</formula>
    </cfRule>
  </conditionalFormatting>
  <conditionalFormatting sqref="K50:K51">
    <cfRule type="expression" dxfId="10686" priority="680">
      <formula>$C50&lt;$E$3</formula>
    </cfRule>
  </conditionalFormatting>
  <conditionalFormatting sqref="K50:K51">
    <cfRule type="expression" dxfId="10685" priority="676">
      <formula>$C50=$E$3</formula>
    </cfRule>
    <cfRule type="expression" dxfId="10684" priority="677">
      <formula>$C50&lt;$E$3</formula>
    </cfRule>
    <cfRule type="cellIs" dxfId="10683" priority="678" operator="equal">
      <formula>0</formula>
    </cfRule>
    <cfRule type="expression" dxfId="10682" priority="679">
      <formula>$C50&gt;$E$3</formula>
    </cfRule>
  </conditionalFormatting>
  <conditionalFormatting sqref="K50:K51">
    <cfRule type="expression" dxfId="10681" priority="672">
      <formula>$E50=""</formula>
    </cfRule>
  </conditionalFormatting>
  <conditionalFormatting sqref="K50:K51">
    <cfRule type="expression" dxfId="10680" priority="671">
      <formula>$C50&lt;$E$3</formula>
    </cfRule>
  </conditionalFormatting>
  <conditionalFormatting sqref="K50:K51">
    <cfRule type="expression" dxfId="10679" priority="670">
      <formula>$E50=""</formula>
    </cfRule>
  </conditionalFormatting>
  <conditionalFormatting sqref="K50:K51">
    <cfRule type="expression" dxfId="10678" priority="669">
      <formula>$C50&lt;$E$3</formula>
    </cfRule>
  </conditionalFormatting>
  <conditionalFormatting sqref="K50:K51">
    <cfRule type="expression" dxfId="10677" priority="668">
      <formula>$E50=""</formula>
    </cfRule>
  </conditionalFormatting>
  <conditionalFormatting sqref="K50:K51">
    <cfRule type="expression" dxfId="10676" priority="667">
      <formula>$C50&lt;$E$3</formula>
    </cfRule>
  </conditionalFormatting>
  <conditionalFormatting sqref="K50:K51">
    <cfRule type="expression" dxfId="10675" priority="666">
      <formula>$E50=""</formula>
    </cfRule>
  </conditionalFormatting>
  <conditionalFormatting sqref="K50:K51">
    <cfRule type="expression" dxfId="10674" priority="665">
      <formula>$C50&lt;$E$3</formula>
    </cfRule>
  </conditionalFormatting>
  <conditionalFormatting sqref="K50:K51">
    <cfRule type="expression" dxfId="10673" priority="661">
      <formula>$C50=$E$3</formula>
    </cfRule>
    <cfRule type="expression" dxfId="10672" priority="662">
      <formula>$C50&lt;$E$3</formula>
    </cfRule>
    <cfRule type="cellIs" dxfId="10671" priority="663" operator="equal">
      <formula>0</formula>
    </cfRule>
    <cfRule type="expression" dxfId="10670" priority="664">
      <formula>$C50&gt;$E$3</formula>
    </cfRule>
  </conditionalFormatting>
  <conditionalFormatting sqref="K50:K51">
    <cfRule type="expression" dxfId="10669" priority="660">
      <formula>$C50&lt;$E$3</formula>
    </cfRule>
  </conditionalFormatting>
  <conditionalFormatting sqref="K50:K51">
    <cfRule type="expression" dxfId="10668" priority="656">
      <formula>$C50=$E$3</formula>
    </cfRule>
    <cfRule type="expression" dxfId="10667" priority="657">
      <formula>$C50&lt;$E$3</formula>
    </cfRule>
    <cfRule type="cellIs" dxfId="10666" priority="658" operator="equal">
      <formula>0</formula>
    </cfRule>
    <cfRule type="expression" dxfId="10665" priority="659">
      <formula>$C50&gt;$E$3</formula>
    </cfRule>
  </conditionalFormatting>
  <conditionalFormatting sqref="K50:K51">
    <cfRule type="expression" dxfId="10664" priority="655">
      <formula>$C50&lt;$E$3</formula>
    </cfRule>
  </conditionalFormatting>
  <conditionalFormatting sqref="K50:K51">
    <cfRule type="expression" dxfId="10663" priority="651">
      <formula>$C50=$E$3</formula>
    </cfRule>
    <cfRule type="expression" dxfId="10662" priority="652">
      <formula>$C50&lt;$E$3</formula>
    </cfRule>
    <cfRule type="cellIs" dxfId="10661" priority="653" operator="equal">
      <formula>0</formula>
    </cfRule>
    <cfRule type="expression" dxfId="10660" priority="654">
      <formula>$C50&gt;$E$3</formula>
    </cfRule>
  </conditionalFormatting>
  <conditionalFormatting sqref="K50:K51">
    <cfRule type="expression" dxfId="10659" priority="650">
      <formula>$C50&lt;$E$3</formula>
    </cfRule>
  </conditionalFormatting>
  <conditionalFormatting sqref="K50:K51">
    <cfRule type="expression" dxfId="10658" priority="646">
      <formula>$C50=$E$3</formula>
    </cfRule>
    <cfRule type="expression" dxfId="10657" priority="647">
      <formula>$C50&lt;$E$3</formula>
    </cfRule>
    <cfRule type="cellIs" dxfId="10656" priority="648" operator="equal">
      <formula>0</formula>
    </cfRule>
    <cfRule type="expression" dxfId="10655" priority="649">
      <formula>$C50&gt;$E$3</formula>
    </cfRule>
  </conditionalFormatting>
  <conditionalFormatting sqref="K50:K51">
    <cfRule type="expression" dxfId="10654" priority="642">
      <formula>$E50=""</formula>
    </cfRule>
  </conditionalFormatting>
  <conditionalFormatting sqref="K50:K51">
    <cfRule type="expression" dxfId="10653" priority="641">
      <formula>$C50&lt;$E$3</formula>
    </cfRule>
  </conditionalFormatting>
  <conditionalFormatting sqref="K50:K51">
    <cfRule type="expression" dxfId="10652" priority="640">
      <formula>$E50=""</formula>
    </cfRule>
  </conditionalFormatting>
  <conditionalFormatting sqref="K50:K51">
    <cfRule type="expression" dxfId="10651" priority="639">
      <formula>$C50&lt;$E$3</formula>
    </cfRule>
  </conditionalFormatting>
  <conditionalFormatting sqref="K50:K51">
    <cfRule type="expression" dxfId="10650" priority="638">
      <formula>$E50=""</formula>
    </cfRule>
  </conditionalFormatting>
  <conditionalFormatting sqref="K50:K51">
    <cfRule type="expression" dxfId="10649" priority="636">
      <formula>$E50=""</formula>
    </cfRule>
  </conditionalFormatting>
  <conditionalFormatting sqref="K50:K51">
    <cfRule type="expression" dxfId="10648" priority="634">
      <formula>$C50&lt;$E$3</formula>
    </cfRule>
  </conditionalFormatting>
  <conditionalFormatting sqref="K50:K51">
    <cfRule type="expression" dxfId="10647" priority="631">
      <formula>$C50=$E$3</formula>
    </cfRule>
    <cfRule type="expression" dxfId="10646" priority="632">
      <formula>$C50&lt;$E$3</formula>
    </cfRule>
    <cfRule type="cellIs" dxfId="10645" priority="633" operator="equal">
      <formula>0</formula>
    </cfRule>
    <cfRule type="expression" dxfId="10644" priority="635">
      <formula>$C50&gt;$E$3</formula>
    </cfRule>
  </conditionalFormatting>
  <conditionalFormatting sqref="K50:K51">
    <cfRule type="expression" dxfId="10643" priority="630">
      <formula>$E50=""</formula>
    </cfRule>
  </conditionalFormatting>
  <conditionalFormatting sqref="K50:K51">
    <cfRule type="expression" dxfId="10642" priority="629">
      <formula>$E50=""</formula>
    </cfRule>
  </conditionalFormatting>
  <conditionalFormatting sqref="K50:K51">
    <cfRule type="expression" dxfId="10641" priority="628">
      <formula>$E50=""</formula>
    </cfRule>
  </conditionalFormatting>
  <conditionalFormatting sqref="J14:J20 L14:M20 J41:J47 L32:M38 L41:M47 J23:J29 J32:J38 L23:M29">
    <cfRule type="cellIs" dxfId="10640" priority="626" stopIfTrue="1" operator="lessThan">
      <formula>0</formula>
    </cfRule>
  </conditionalFormatting>
  <conditionalFormatting sqref="J14:J20 J41:J47 L14:M20 L32:M38 L41:M47 J23:J29 J32:J38 L23:M29">
    <cfRule type="expression" dxfId="10639" priority="624">
      <formula>$C14&lt;$E$3</formula>
    </cfRule>
  </conditionalFormatting>
  <conditionalFormatting sqref="J14:J20 J41:J47 L14:M20 L32:M38 L41:M47 J23:J29 J32:J38 L23:M29">
    <cfRule type="expression" dxfId="10638" priority="621">
      <formula>$C14=$E$3</formula>
    </cfRule>
    <cfRule type="expression" dxfId="10637" priority="622">
      <formula>$C14&lt;$E$3</formula>
    </cfRule>
    <cfRule type="cellIs" dxfId="10636" priority="623" operator="equal">
      <formula>0</formula>
    </cfRule>
    <cfRule type="expression" dxfId="10635" priority="625">
      <formula>$C14&gt;$E$3</formula>
    </cfRule>
  </conditionalFormatting>
  <conditionalFormatting sqref="J14:J20 J41:J47 L14:M20 L32:M38 L41:M47 J23:J29 J32:J38 L23:M29">
    <cfRule type="expression" dxfId="10634" priority="620">
      <formula>$E14=""</formula>
    </cfRule>
  </conditionalFormatting>
  <conditionalFormatting sqref="J41:J47 J14:J20 L14:M20 L32:M38 L41:M47 J23:J29 J32:J38 L23:M29">
    <cfRule type="expression" dxfId="10633" priority="619">
      <formula>$E14=""</formula>
    </cfRule>
  </conditionalFormatting>
  <conditionalFormatting sqref="J41:J47 J14:J20 L14:M20 L32:M38 L41:M47 J23:J29 J32:J38 L23:M29">
    <cfRule type="expression" dxfId="10632" priority="618">
      <formula>$E14=""</formula>
    </cfRule>
  </conditionalFormatting>
  <conditionalFormatting sqref="M14:M20 M32:M38 M41:M47 M23:M29">
    <cfRule type="expression" dxfId="10631" priority="617">
      <formula>$C14&lt;$E$3</formula>
    </cfRule>
  </conditionalFormatting>
  <conditionalFormatting sqref="M14:M20 M32:M38 M41:M47 M23:M29">
    <cfRule type="expression" dxfId="10630" priority="613">
      <formula>$C14=$E$3</formula>
    </cfRule>
    <cfRule type="expression" dxfId="10629" priority="614">
      <formula>$C14&lt;$E$3</formula>
    </cfRule>
    <cfRule type="cellIs" dxfId="10628" priority="615" operator="equal">
      <formula>0</formula>
    </cfRule>
    <cfRule type="expression" dxfId="10627" priority="616">
      <formula>$C14&gt;$E$3</formula>
    </cfRule>
  </conditionalFormatting>
  <conditionalFormatting sqref="M14:M20 M32:M38 M41:M47 M23:M29">
    <cfRule type="expression" dxfId="10626" priority="612">
      <formula>$C14&lt;$E$3</formula>
    </cfRule>
  </conditionalFormatting>
  <conditionalFormatting sqref="M14:M20 M32:M38 M41:M47 M23:M29">
    <cfRule type="expression" dxfId="10625" priority="608">
      <formula>$C14=$E$3</formula>
    </cfRule>
    <cfRule type="expression" dxfId="10624" priority="609">
      <formula>$C14&lt;$E$3</formula>
    </cfRule>
    <cfRule type="cellIs" dxfId="10623" priority="610" operator="equal">
      <formula>0</formula>
    </cfRule>
    <cfRule type="expression" dxfId="10622" priority="611">
      <formula>$C14&gt;$E$3</formula>
    </cfRule>
  </conditionalFormatting>
  <conditionalFormatting sqref="M14:M20 M32:M38 M41:M47 M23:M29">
    <cfRule type="expression" dxfId="10621" priority="607">
      <formula>$C14&lt;$E$3</formula>
    </cfRule>
  </conditionalFormatting>
  <conditionalFormatting sqref="M14:M20 M32:M38 M41:M47 M23:M29">
    <cfRule type="expression" dxfId="10620" priority="603">
      <formula>$C14=$E$3</formula>
    </cfRule>
    <cfRule type="expression" dxfId="10619" priority="604">
      <formula>$C14&lt;$E$3</formula>
    </cfRule>
    <cfRule type="cellIs" dxfId="10618" priority="605" operator="equal">
      <formula>0</formula>
    </cfRule>
    <cfRule type="expression" dxfId="10617" priority="606">
      <formula>$C14&gt;$E$3</formula>
    </cfRule>
  </conditionalFormatting>
  <conditionalFormatting sqref="M14:M20 M32:M38 M41:M47 M23:M29">
    <cfRule type="expression" dxfId="10616" priority="602">
      <formula>$C14&lt;$E$3</formula>
    </cfRule>
  </conditionalFormatting>
  <conditionalFormatting sqref="M14:M20 M32:M38 M41:M47 M23:M29">
    <cfRule type="expression" dxfId="10615" priority="598">
      <formula>$C14=$E$3</formula>
    </cfRule>
    <cfRule type="expression" dxfId="10614" priority="599">
      <formula>$C14&lt;$E$3</formula>
    </cfRule>
    <cfRule type="cellIs" dxfId="10613" priority="600" operator="equal">
      <formula>0</formula>
    </cfRule>
    <cfRule type="expression" dxfId="10612" priority="601">
      <formula>$C14&gt;$E$3</formula>
    </cfRule>
  </conditionalFormatting>
  <conditionalFormatting sqref="M14:M20 M32:M38 M41:M47 M23:M29">
    <cfRule type="expression" dxfId="10611" priority="597">
      <formula>$E14=""</formula>
    </cfRule>
  </conditionalFormatting>
  <conditionalFormatting sqref="M14:M20 M32:M38 M41:M47 M23:M29">
    <cfRule type="expression" dxfId="10610" priority="596">
      <formula>$C14&lt;$E$3</formula>
    </cfRule>
  </conditionalFormatting>
  <conditionalFormatting sqref="M14:M20 M32:M38 M41:M47 M23:M29">
    <cfRule type="expression" dxfId="10609" priority="595">
      <formula>$E14=""</formula>
    </cfRule>
  </conditionalFormatting>
  <conditionalFormatting sqref="M32:M38 M41:M47 M14:M20 M23:M29">
    <cfRule type="expression" dxfId="10608" priority="594">
      <formula>$E14=""</formula>
    </cfRule>
  </conditionalFormatting>
  <conditionalFormatting sqref="M14:M20 M32:M38 M41:M47 M23:M29">
    <cfRule type="expression" dxfId="10607" priority="593">
      <formula>$C14&lt;$E$3</formula>
    </cfRule>
  </conditionalFormatting>
  <conditionalFormatting sqref="M14:M20 M32:M38 M41:M47 M23:M29">
    <cfRule type="expression" dxfId="10606" priority="592">
      <formula>$E14=""</formula>
    </cfRule>
  </conditionalFormatting>
  <conditionalFormatting sqref="M14:M20 M32:M38 M41:M47 M23:M29">
    <cfRule type="expression" dxfId="10605" priority="591">
      <formula>$C14&lt;$E$3</formula>
    </cfRule>
  </conditionalFormatting>
  <conditionalFormatting sqref="M14:M20 M32:M38 M41:M47 M23:M29">
    <cfRule type="expression" dxfId="10604" priority="590">
      <formula>$E14=""</formula>
    </cfRule>
  </conditionalFormatting>
  <conditionalFormatting sqref="M14:M20 M32:M38 M41:M47 M23:M29">
    <cfRule type="expression" dxfId="10603" priority="588">
      <formula>$E14=""</formula>
    </cfRule>
  </conditionalFormatting>
  <conditionalFormatting sqref="M14:M20 M32:M38 M41:M47 M23:M29">
    <cfRule type="expression" dxfId="10602" priority="583">
      <formula>$C14=$E$3</formula>
    </cfRule>
    <cfRule type="expression" dxfId="10601" priority="584">
      <formula>$C14&lt;$E$3</formula>
    </cfRule>
    <cfRule type="cellIs" dxfId="10600" priority="585" operator="equal">
      <formula>0</formula>
    </cfRule>
    <cfRule type="expression" dxfId="10599" priority="586">
      <formula>$C14&gt;$E$3</formula>
    </cfRule>
  </conditionalFormatting>
  <conditionalFormatting sqref="M14:M20 M32:M38 M41:M47 M23:M29">
    <cfRule type="expression" dxfId="10598" priority="582">
      <formula>$C14&lt;$E$3</formula>
    </cfRule>
  </conditionalFormatting>
  <conditionalFormatting sqref="M14:M20 M32:M38 M41:M47 M23:M29">
    <cfRule type="expression" dxfId="10597" priority="578">
      <formula>$C14=$E$3</formula>
    </cfRule>
    <cfRule type="expression" dxfId="10596" priority="579">
      <formula>$C14&lt;$E$3</formula>
    </cfRule>
    <cfRule type="cellIs" dxfId="10595" priority="580" operator="equal">
      <formula>0</formula>
    </cfRule>
    <cfRule type="expression" dxfId="10594" priority="581">
      <formula>$C14&gt;$E$3</formula>
    </cfRule>
  </conditionalFormatting>
  <conditionalFormatting sqref="M14:M20 M32:M38 M41:M47 M23:M29">
    <cfRule type="expression" dxfId="10593" priority="577">
      <formula>$C14&lt;$E$3</formula>
    </cfRule>
  </conditionalFormatting>
  <conditionalFormatting sqref="M14:M20 M32:M38 M41:M47 M23:M29">
    <cfRule type="expression" dxfId="10592" priority="573">
      <formula>$C14=$E$3</formula>
    </cfRule>
    <cfRule type="expression" dxfId="10591" priority="574">
      <formula>$C14&lt;$E$3</formula>
    </cfRule>
    <cfRule type="cellIs" dxfId="10590" priority="575" operator="equal">
      <formula>0</formula>
    </cfRule>
    <cfRule type="expression" dxfId="10589" priority="576">
      <formula>$C14&gt;$E$3</formula>
    </cfRule>
  </conditionalFormatting>
  <conditionalFormatting sqref="M14:M20 M32:M38 M41:M47 M23:M29">
    <cfRule type="expression" dxfId="10588" priority="572">
      <formula>$C14&lt;$E$3</formula>
    </cfRule>
  </conditionalFormatting>
  <conditionalFormatting sqref="M14:M20 M32:M38 M41:M47 M23:M29">
    <cfRule type="expression" dxfId="10587" priority="568">
      <formula>$C14=$E$3</formula>
    </cfRule>
    <cfRule type="expression" dxfId="10586" priority="569">
      <formula>$C14&lt;$E$3</formula>
    </cfRule>
    <cfRule type="cellIs" dxfId="10585" priority="570" operator="equal">
      <formula>0</formula>
    </cfRule>
    <cfRule type="expression" dxfId="10584" priority="571">
      <formula>$C14&gt;$E$3</formula>
    </cfRule>
  </conditionalFormatting>
  <conditionalFormatting sqref="M14:M20 M32:M38 M41:M47 M23:M29">
    <cfRule type="expression" dxfId="10583" priority="567">
      <formula>$E14=""</formula>
    </cfRule>
  </conditionalFormatting>
  <conditionalFormatting sqref="M14:M20 M32:M38 M41:M47 M23:M29">
    <cfRule type="expression" dxfId="10582" priority="566">
      <formula>$C14&lt;$E$3</formula>
    </cfRule>
  </conditionalFormatting>
  <conditionalFormatting sqref="M14:M20 M32:M38 M41:M47 M23:M29">
    <cfRule type="expression" dxfId="10581" priority="565">
      <formula>$E14=""</formula>
    </cfRule>
  </conditionalFormatting>
  <conditionalFormatting sqref="M32:M38 M41:M47 M14:M20 M23:M29">
    <cfRule type="expression" dxfId="10580" priority="564">
      <formula>$E14=""</formula>
    </cfRule>
  </conditionalFormatting>
  <conditionalFormatting sqref="M14:M20 M32:M38 M41:M47 M23:M29">
    <cfRule type="expression" dxfId="10579" priority="563">
      <formula>$C14&lt;$E$3</formula>
    </cfRule>
  </conditionalFormatting>
  <conditionalFormatting sqref="M14:M20 M32:M38 M41:M47 M23:M29">
    <cfRule type="expression" dxfId="10578" priority="562">
      <formula>$E14=""</formula>
    </cfRule>
  </conditionalFormatting>
  <conditionalFormatting sqref="M14:M20 M32:M38 M41:M47 M23:M29">
    <cfRule type="expression" dxfId="10577" priority="561">
      <formula>$C14&lt;$E$3</formula>
    </cfRule>
  </conditionalFormatting>
  <conditionalFormatting sqref="M14:M20 M32:M38 M41:M47 M23:M29">
    <cfRule type="expression" dxfId="10576" priority="560">
      <formula>$E14=""</formula>
    </cfRule>
  </conditionalFormatting>
  <conditionalFormatting sqref="M14:M20 M32:M38 M41:M47 M23:M29">
    <cfRule type="expression" dxfId="10575" priority="558">
      <formula>$E14=""</formula>
    </cfRule>
  </conditionalFormatting>
  <conditionalFormatting sqref="K37">
    <cfRule type="expression" dxfId="10574" priority="263">
      <formula>$C37&lt;$E$3</formula>
    </cfRule>
  </conditionalFormatting>
  <conditionalFormatting sqref="K37">
    <cfRule type="expression" dxfId="10573" priority="259">
      <formula>$C37=$E$3</formula>
    </cfRule>
    <cfRule type="expression" dxfId="10572" priority="260">
      <formula>$C37&lt;$E$3</formula>
    </cfRule>
    <cfRule type="cellIs" dxfId="10571" priority="261" operator="equal">
      <formula>0</formula>
    </cfRule>
    <cfRule type="expression" dxfId="10570" priority="262">
      <formula>$C37&gt;$E$3</formula>
    </cfRule>
  </conditionalFormatting>
  <conditionalFormatting sqref="K37">
    <cfRule type="expression" dxfId="10569" priority="258">
      <formula>$C37&lt;$E$3</formula>
    </cfRule>
  </conditionalFormatting>
  <conditionalFormatting sqref="K37">
    <cfRule type="expression" dxfId="10568" priority="254">
      <formula>$C37=$E$3</formula>
    </cfRule>
    <cfRule type="expression" dxfId="10567" priority="255">
      <formula>$C37&lt;$E$3</formula>
    </cfRule>
    <cfRule type="cellIs" dxfId="10566" priority="256" operator="equal">
      <formula>0</formula>
    </cfRule>
    <cfRule type="expression" dxfId="10565" priority="257">
      <formula>$C37&gt;$E$3</formula>
    </cfRule>
  </conditionalFormatting>
  <conditionalFormatting sqref="K37">
    <cfRule type="expression" dxfId="10564" priority="233">
      <formula>$C37&lt;$E$3</formula>
    </cfRule>
  </conditionalFormatting>
  <conditionalFormatting sqref="K37">
    <cfRule type="expression" dxfId="10563" priority="229">
      <formula>$C37=$E$3</formula>
    </cfRule>
    <cfRule type="expression" dxfId="10562" priority="230">
      <formula>$C37&lt;$E$3</formula>
    </cfRule>
    <cfRule type="cellIs" dxfId="10561" priority="231" operator="equal">
      <formula>0</formula>
    </cfRule>
    <cfRule type="expression" dxfId="10560" priority="232">
      <formula>$C37&gt;$E$3</formula>
    </cfRule>
  </conditionalFormatting>
  <conditionalFormatting sqref="K37">
    <cfRule type="expression" dxfId="10559" priority="228">
      <formula>$C37&lt;$E$3</formula>
    </cfRule>
  </conditionalFormatting>
  <conditionalFormatting sqref="K37">
    <cfRule type="expression" dxfId="10558" priority="224">
      <formula>$C37=$E$3</formula>
    </cfRule>
    <cfRule type="expression" dxfId="10557" priority="225">
      <formula>$C37&lt;$E$3</formula>
    </cfRule>
    <cfRule type="cellIs" dxfId="10556" priority="226" operator="equal">
      <formula>0</formula>
    </cfRule>
    <cfRule type="expression" dxfId="10555" priority="227">
      <formula>$C37&gt;$E$3</formula>
    </cfRule>
  </conditionalFormatting>
  <conditionalFormatting sqref="K32:K36">
    <cfRule type="expression" dxfId="10554" priority="203">
      <formula>$C32&lt;$E$3</formula>
    </cfRule>
  </conditionalFormatting>
  <conditionalFormatting sqref="K32:K36">
    <cfRule type="expression" dxfId="10553" priority="199">
      <formula>$C32=$E$3</formula>
    </cfRule>
    <cfRule type="expression" dxfId="10552" priority="200">
      <formula>$C32&lt;$E$3</formula>
    </cfRule>
    <cfRule type="cellIs" dxfId="10551" priority="201" operator="equal">
      <formula>0</formula>
    </cfRule>
    <cfRule type="expression" dxfId="10550" priority="202">
      <formula>$C32&gt;$E$3</formula>
    </cfRule>
  </conditionalFormatting>
  <conditionalFormatting sqref="K32:K36">
    <cfRule type="expression" dxfId="10549" priority="198">
      <formula>$C32&lt;$E$3</formula>
    </cfRule>
  </conditionalFormatting>
  <conditionalFormatting sqref="K32:K36">
    <cfRule type="expression" dxfId="10548" priority="194">
      <formula>$C32=$E$3</formula>
    </cfRule>
    <cfRule type="expression" dxfId="10547" priority="195">
      <formula>$C32&lt;$E$3</formula>
    </cfRule>
    <cfRule type="cellIs" dxfId="10546" priority="196" operator="equal">
      <formula>0</formula>
    </cfRule>
    <cfRule type="expression" dxfId="10545" priority="197">
      <formula>$C32&gt;$E$3</formula>
    </cfRule>
  </conditionalFormatting>
  <conditionalFormatting sqref="J39:N40">
    <cfRule type="expression" dxfId="10544" priority="557">
      <formula>$L$40=0</formula>
    </cfRule>
  </conditionalFormatting>
  <conditionalFormatting sqref="K14:K20">
    <cfRule type="cellIs" dxfId="10543" priority="556" stopIfTrue="1" operator="lessThan">
      <formula>0</formula>
    </cfRule>
  </conditionalFormatting>
  <conditionalFormatting sqref="K14:K20">
    <cfRule type="expression" dxfId="10542" priority="554">
      <formula>$C14&lt;$E$3</formula>
    </cfRule>
  </conditionalFormatting>
  <conditionalFormatting sqref="K14:K20">
    <cfRule type="expression" dxfId="10541" priority="551">
      <formula>$C14=$E$3</formula>
    </cfRule>
    <cfRule type="expression" dxfId="10540" priority="552">
      <formula>$C14&lt;$E$3</formula>
    </cfRule>
    <cfRule type="cellIs" dxfId="10539" priority="553" operator="equal">
      <formula>0</formula>
    </cfRule>
    <cfRule type="expression" dxfId="10538" priority="555">
      <formula>$C14&gt;$E$3</formula>
    </cfRule>
  </conditionalFormatting>
  <conditionalFormatting sqref="K14:K20">
    <cfRule type="expression" dxfId="10537" priority="550">
      <formula>$E14=""</formula>
    </cfRule>
  </conditionalFormatting>
  <conditionalFormatting sqref="K14:K20">
    <cfRule type="expression" dxfId="10536" priority="549">
      <formula>$E14=""</formula>
    </cfRule>
  </conditionalFormatting>
  <conditionalFormatting sqref="K14:K20">
    <cfRule type="expression" dxfId="10535" priority="548">
      <formula>$E14=""</formula>
    </cfRule>
  </conditionalFormatting>
  <conditionalFormatting sqref="K19">
    <cfRule type="expression" dxfId="10534" priority="547">
      <formula>$C19&lt;$E$3</formula>
    </cfRule>
  </conditionalFormatting>
  <conditionalFormatting sqref="K19">
    <cfRule type="expression" dxfId="10533" priority="543">
      <formula>$C19=$E$3</formula>
    </cfRule>
    <cfRule type="expression" dxfId="10532" priority="544">
      <formula>$C19&lt;$E$3</formula>
    </cfRule>
    <cfRule type="cellIs" dxfId="10531" priority="545" operator="equal">
      <formula>0</formula>
    </cfRule>
    <cfRule type="expression" dxfId="10530" priority="546">
      <formula>$C19&gt;$E$3</formula>
    </cfRule>
  </conditionalFormatting>
  <conditionalFormatting sqref="K19">
    <cfRule type="expression" dxfId="10529" priority="542">
      <formula>$C19&lt;$E$3</formula>
    </cfRule>
  </conditionalFormatting>
  <conditionalFormatting sqref="K19">
    <cfRule type="expression" dxfId="10528" priority="538">
      <formula>$C19=$E$3</formula>
    </cfRule>
    <cfRule type="expression" dxfId="10527" priority="539">
      <formula>$C19&lt;$E$3</formula>
    </cfRule>
    <cfRule type="cellIs" dxfId="10526" priority="540" operator="equal">
      <formula>0</formula>
    </cfRule>
    <cfRule type="expression" dxfId="10525" priority="541">
      <formula>$C19&gt;$E$3</formula>
    </cfRule>
  </conditionalFormatting>
  <conditionalFormatting sqref="K19">
    <cfRule type="expression" dxfId="10524" priority="537">
      <formula>$C19&lt;$E$3</formula>
    </cfRule>
  </conditionalFormatting>
  <conditionalFormatting sqref="K19">
    <cfRule type="expression" dxfId="10523" priority="533">
      <formula>$C19=$E$3</formula>
    </cfRule>
    <cfRule type="expression" dxfId="10522" priority="534">
      <formula>$C19&lt;$E$3</formula>
    </cfRule>
    <cfRule type="cellIs" dxfId="10521" priority="535" operator="equal">
      <formula>0</formula>
    </cfRule>
    <cfRule type="expression" dxfId="10520" priority="536">
      <formula>$C19&gt;$E$3</formula>
    </cfRule>
  </conditionalFormatting>
  <conditionalFormatting sqref="K19">
    <cfRule type="expression" dxfId="10519" priority="532">
      <formula>$C19&lt;$E$3</formula>
    </cfRule>
  </conditionalFormatting>
  <conditionalFormatting sqref="K19">
    <cfRule type="expression" dxfId="10518" priority="528">
      <formula>$C19=$E$3</formula>
    </cfRule>
    <cfRule type="expression" dxfId="10517" priority="529">
      <formula>$C19&lt;$E$3</formula>
    </cfRule>
    <cfRule type="cellIs" dxfId="10516" priority="530" operator="equal">
      <formula>0</formula>
    </cfRule>
    <cfRule type="expression" dxfId="10515" priority="531">
      <formula>$C19&gt;$E$3</formula>
    </cfRule>
  </conditionalFormatting>
  <conditionalFormatting sqref="K19">
    <cfRule type="expression" dxfId="10514" priority="527">
      <formula>$E19=""</formula>
    </cfRule>
  </conditionalFormatting>
  <conditionalFormatting sqref="K19">
    <cfRule type="expression" dxfId="10513" priority="526">
      <formula>$C19&lt;$E$3</formula>
    </cfRule>
  </conditionalFormatting>
  <conditionalFormatting sqref="K19">
    <cfRule type="expression" dxfId="10512" priority="525">
      <formula>$E19=""</formula>
    </cfRule>
  </conditionalFormatting>
  <conditionalFormatting sqref="K19">
    <cfRule type="expression" dxfId="10511" priority="524">
      <formula>$E19=""</formula>
    </cfRule>
  </conditionalFormatting>
  <conditionalFormatting sqref="K19">
    <cfRule type="expression" dxfId="10510" priority="523">
      <formula>$C19&lt;$E$3</formula>
    </cfRule>
  </conditionalFormatting>
  <conditionalFormatting sqref="K19">
    <cfRule type="expression" dxfId="10509" priority="522">
      <formula>$E19=""</formula>
    </cfRule>
  </conditionalFormatting>
  <conditionalFormatting sqref="K19">
    <cfRule type="expression" dxfId="10508" priority="521">
      <formula>$C19&lt;$E$3</formula>
    </cfRule>
  </conditionalFormatting>
  <conditionalFormatting sqref="K19">
    <cfRule type="expression" dxfId="10507" priority="520">
      <formula>$E19=""</formula>
    </cfRule>
  </conditionalFormatting>
  <conditionalFormatting sqref="K19">
    <cfRule type="expression" dxfId="10506" priority="518">
      <formula>$E19=""</formula>
    </cfRule>
  </conditionalFormatting>
  <conditionalFormatting sqref="K19">
    <cfRule type="expression" dxfId="10505" priority="513">
      <formula>$C19=$E$3</formula>
    </cfRule>
    <cfRule type="expression" dxfId="10504" priority="514">
      <formula>$C19&lt;$E$3</formula>
    </cfRule>
    <cfRule type="cellIs" dxfId="10503" priority="515" operator="equal">
      <formula>0</formula>
    </cfRule>
    <cfRule type="expression" dxfId="10502" priority="516">
      <formula>$C19&gt;$E$3</formula>
    </cfRule>
  </conditionalFormatting>
  <conditionalFormatting sqref="K19">
    <cfRule type="expression" dxfId="10501" priority="512">
      <formula>$C19&lt;$E$3</formula>
    </cfRule>
  </conditionalFormatting>
  <conditionalFormatting sqref="K19">
    <cfRule type="expression" dxfId="10500" priority="508">
      <formula>$C19=$E$3</formula>
    </cfRule>
    <cfRule type="expression" dxfId="10499" priority="509">
      <formula>$C19&lt;$E$3</formula>
    </cfRule>
    <cfRule type="cellIs" dxfId="10498" priority="510" operator="equal">
      <formula>0</formula>
    </cfRule>
    <cfRule type="expression" dxfId="10497" priority="511">
      <formula>$C19&gt;$E$3</formula>
    </cfRule>
  </conditionalFormatting>
  <conditionalFormatting sqref="K19">
    <cfRule type="expression" dxfId="10496" priority="507">
      <formula>$C19&lt;$E$3</formula>
    </cfRule>
  </conditionalFormatting>
  <conditionalFormatting sqref="K19">
    <cfRule type="expression" dxfId="10495" priority="503">
      <formula>$C19=$E$3</formula>
    </cfRule>
    <cfRule type="expression" dxfId="10494" priority="504">
      <formula>$C19&lt;$E$3</formula>
    </cfRule>
    <cfRule type="cellIs" dxfId="10493" priority="505" operator="equal">
      <formula>0</formula>
    </cfRule>
    <cfRule type="expression" dxfId="10492" priority="506">
      <formula>$C19&gt;$E$3</formula>
    </cfRule>
  </conditionalFormatting>
  <conditionalFormatting sqref="K19">
    <cfRule type="expression" dxfId="10491" priority="502">
      <formula>$C19&lt;$E$3</formula>
    </cfRule>
  </conditionalFormatting>
  <conditionalFormatting sqref="K19">
    <cfRule type="expression" dxfId="10490" priority="498">
      <formula>$C19=$E$3</formula>
    </cfRule>
    <cfRule type="expression" dxfId="10489" priority="499">
      <formula>$C19&lt;$E$3</formula>
    </cfRule>
    <cfRule type="cellIs" dxfId="10488" priority="500" operator="equal">
      <formula>0</formula>
    </cfRule>
    <cfRule type="expression" dxfId="10487" priority="501">
      <formula>$C19&gt;$E$3</formula>
    </cfRule>
  </conditionalFormatting>
  <conditionalFormatting sqref="K19">
    <cfRule type="expression" dxfId="10486" priority="497">
      <formula>$E19=""</formula>
    </cfRule>
  </conditionalFormatting>
  <conditionalFormatting sqref="K19">
    <cfRule type="expression" dxfId="10485" priority="496">
      <formula>$C19&lt;$E$3</formula>
    </cfRule>
  </conditionalFormatting>
  <conditionalFormatting sqref="K19">
    <cfRule type="expression" dxfId="10484" priority="495">
      <formula>$E19=""</formula>
    </cfRule>
  </conditionalFormatting>
  <conditionalFormatting sqref="K19">
    <cfRule type="expression" dxfId="10483" priority="494">
      <formula>$E19=""</formula>
    </cfRule>
  </conditionalFormatting>
  <conditionalFormatting sqref="K19">
    <cfRule type="expression" dxfId="10482" priority="493">
      <formula>$C19&lt;$E$3</formula>
    </cfRule>
  </conditionalFormatting>
  <conditionalFormatting sqref="K19">
    <cfRule type="expression" dxfId="10481" priority="492">
      <formula>$E19=""</formula>
    </cfRule>
  </conditionalFormatting>
  <conditionalFormatting sqref="K19">
    <cfRule type="expression" dxfId="10480" priority="491">
      <formula>$C19&lt;$E$3</formula>
    </cfRule>
  </conditionalFormatting>
  <conditionalFormatting sqref="K19">
    <cfRule type="expression" dxfId="10479" priority="490">
      <formula>$E19=""</formula>
    </cfRule>
  </conditionalFormatting>
  <conditionalFormatting sqref="K19">
    <cfRule type="expression" dxfId="10478" priority="488">
      <formula>$E19=""</formula>
    </cfRule>
  </conditionalFormatting>
  <conditionalFormatting sqref="K14:K18">
    <cfRule type="expression" dxfId="10477" priority="483">
      <formula>$C14=$E$3</formula>
    </cfRule>
    <cfRule type="expression" dxfId="10476" priority="484">
      <formula>$C14&lt;$E$3</formula>
    </cfRule>
    <cfRule type="cellIs" dxfId="10475" priority="485" operator="equal">
      <formula>0</formula>
    </cfRule>
    <cfRule type="expression" dxfId="10474" priority="486">
      <formula>$C14&gt;$E$3</formula>
    </cfRule>
  </conditionalFormatting>
  <conditionalFormatting sqref="K14:K18">
    <cfRule type="expression" dxfId="10473" priority="482">
      <formula>$C14&lt;$E$3</formula>
    </cfRule>
  </conditionalFormatting>
  <conditionalFormatting sqref="K14:K18">
    <cfRule type="expression" dxfId="10472" priority="478">
      <formula>$C14=$E$3</formula>
    </cfRule>
    <cfRule type="expression" dxfId="10471" priority="479">
      <formula>$C14&lt;$E$3</formula>
    </cfRule>
    <cfRule type="cellIs" dxfId="10470" priority="480" operator="equal">
      <formula>0</formula>
    </cfRule>
    <cfRule type="expression" dxfId="10469" priority="481">
      <formula>$C14&gt;$E$3</formula>
    </cfRule>
  </conditionalFormatting>
  <conditionalFormatting sqref="K14:K18">
    <cfRule type="expression" dxfId="10468" priority="477">
      <formula>$C14&lt;$E$3</formula>
    </cfRule>
  </conditionalFormatting>
  <conditionalFormatting sqref="K14:K18">
    <cfRule type="expression" dxfId="10467" priority="473">
      <formula>$C14=$E$3</formula>
    </cfRule>
    <cfRule type="expression" dxfId="10466" priority="474">
      <formula>$C14&lt;$E$3</formula>
    </cfRule>
    <cfRule type="cellIs" dxfId="10465" priority="475" operator="equal">
      <formula>0</formula>
    </cfRule>
    <cfRule type="expression" dxfId="10464" priority="476">
      <formula>$C14&gt;$E$3</formula>
    </cfRule>
  </conditionalFormatting>
  <conditionalFormatting sqref="K14:K18">
    <cfRule type="expression" dxfId="10463" priority="472">
      <formula>$C14&lt;$E$3</formula>
    </cfRule>
  </conditionalFormatting>
  <conditionalFormatting sqref="K14:K18">
    <cfRule type="expression" dxfId="10462" priority="468">
      <formula>$C14=$E$3</formula>
    </cfRule>
    <cfRule type="expression" dxfId="10461" priority="469">
      <formula>$C14&lt;$E$3</formula>
    </cfRule>
    <cfRule type="cellIs" dxfId="10460" priority="470" operator="equal">
      <formula>0</formula>
    </cfRule>
    <cfRule type="expression" dxfId="10459" priority="471">
      <formula>$C14&gt;$E$3</formula>
    </cfRule>
  </conditionalFormatting>
  <conditionalFormatting sqref="K14:K18">
    <cfRule type="expression" dxfId="10458" priority="467">
      <formula>$E14=""</formula>
    </cfRule>
  </conditionalFormatting>
  <conditionalFormatting sqref="K14:K18">
    <cfRule type="expression" dxfId="10457" priority="466">
      <formula>$C14&lt;$E$3</formula>
    </cfRule>
  </conditionalFormatting>
  <conditionalFormatting sqref="K14:K18">
    <cfRule type="expression" dxfId="10456" priority="465">
      <formula>$E14=""</formula>
    </cfRule>
  </conditionalFormatting>
  <conditionalFormatting sqref="K14:K18">
    <cfRule type="expression" dxfId="10455" priority="464">
      <formula>$E14=""</formula>
    </cfRule>
  </conditionalFormatting>
  <conditionalFormatting sqref="K14:K18">
    <cfRule type="expression" dxfId="10454" priority="463">
      <formula>$C14&lt;$E$3</formula>
    </cfRule>
  </conditionalFormatting>
  <conditionalFormatting sqref="K14:K18">
    <cfRule type="expression" dxfId="10453" priority="462">
      <formula>$E14=""</formula>
    </cfRule>
  </conditionalFormatting>
  <conditionalFormatting sqref="K14:K18">
    <cfRule type="expression" dxfId="10452" priority="461">
      <formula>$C14&lt;$E$3</formula>
    </cfRule>
  </conditionalFormatting>
  <conditionalFormatting sqref="K14:K18">
    <cfRule type="expression" dxfId="10451" priority="460">
      <formula>$E14=""</formula>
    </cfRule>
  </conditionalFormatting>
  <conditionalFormatting sqref="K14:K18">
    <cfRule type="expression" dxfId="10450" priority="458">
      <formula>$E14=""</formula>
    </cfRule>
  </conditionalFormatting>
  <conditionalFormatting sqref="K14:K18">
    <cfRule type="expression" dxfId="10449" priority="453">
      <formula>$C14=$E$3</formula>
    </cfRule>
    <cfRule type="expression" dxfId="10448" priority="454">
      <formula>$C14&lt;$E$3</formula>
    </cfRule>
    <cfRule type="cellIs" dxfId="10447" priority="455" operator="equal">
      <formula>0</formula>
    </cfRule>
    <cfRule type="expression" dxfId="10446" priority="456">
      <formula>$C14&gt;$E$3</formula>
    </cfRule>
  </conditionalFormatting>
  <conditionalFormatting sqref="K14:K18">
    <cfRule type="expression" dxfId="10445" priority="452">
      <formula>$C14&lt;$E$3</formula>
    </cfRule>
  </conditionalFormatting>
  <conditionalFormatting sqref="K14:K18">
    <cfRule type="expression" dxfId="10444" priority="448">
      <formula>$C14=$E$3</formula>
    </cfRule>
    <cfRule type="expression" dxfId="10443" priority="449">
      <formula>$C14&lt;$E$3</formula>
    </cfRule>
    <cfRule type="cellIs" dxfId="10442" priority="450" operator="equal">
      <formula>0</formula>
    </cfRule>
    <cfRule type="expression" dxfId="10441" priority="451">
      <formula>$C14&gt;$E$3</formula>
    </cfRule>
  </conditionalFormatting>
  <conditionalFormatting sqref="K14:K18">
    <cfRule type="expression" dxfId="10440" priority="447">
      <formula>$C14&lt;$E$3</formula>
    </cfRule>
  </conditionalFormatting>
  <conditionalFormatting sqref="K14:K18">
    <cfRule type="expression" dxfId="10439" priority="443">
      <formula>$C14=$E$3</formula>
    </cfRule>
    <cfRule type="expression" dxfId="10438" priority="444">
      <formula>$C14&lt;$E$3</formula>
    </cfRule>
    <cfRule type="cellIs" dxfId="10437" priority="445" operator="equal">
      <formula>0</formula>
    </cfRule>
    <cfRule type="expression" dxfId="10436" priority="446">
      <formula>$C14&gt;$E$3</formula>
    </cfRule>
  </conditionalFormatting>
  <conditionalFormatting sqref="K14:K18">
    <cfRule type="expression" dxfId="10435" priority="442">
      <formula>$C14&lt;$E$3</formula>
    </cfRule>
  </conditionalFormatting>
  <conditionalFormatting sqref="K14:K18">
    <cfRule type="expression" dxfId="10434" priority="438">
      <formula>$C14=$E$3</formula>
    </cfRule>
    <cfRule type="expression" dxfId="10433" priority="439">
      <formula>$C14&lt;$E$3</formula>
    </cfRule>
    <cfRule type="cellIs" dxfId="10432" priority="440" operator="equal">
      <formula>0</formula>
    </cfRule>
    <cfRule type="expression" dxfId="10431" priority="441">
      <formula>$C14&gt;$E$3</formula>
    </cfRule>
  </conditionalFormatting>
  <conditionalFormatting sqref="K14:K18">
    <cfRule type="expression" dxfId="10430" priority="437">
      <formula>$E14=""</formula>
    </cfRule>
  </conditionalFormatting>
  <conditionalFormatting sqref="K14:K18">
    <cfRule type="expression" dxfId="10429" priority="436">
      <formula>$C14&lt;$E$3</formula>
    </cfRule>
  </conditionalFormatting>
  <conditionalFormatting sqref="K14:K18">
    <cfRule type="expression" dxfId="10428" priority="435">
      <formula>$E14=""</formula>
    </cfRule>
  </conditionalFormatting>
  <conditionalFormatting sqref="K14:K18">
    <cfRule type="expression" dxfId="10427" priority="434">
      <formula>$E14=""</formula>
    </cfRule>
  </conditionalFormatting>
  <conditionalFormatting sqref="K14:K18">
    <cfRule type="expression" dxfId="10426" priority="433">
      <formula>$C14&lt;$E$3</formula>
    </cfRule>
  </conditionalFormatting>
  <conditionalFormatting sqref="K14:K18">
    <cfRule type="expression" dxfId="10425" priority="432">
      <formula>$E14=""</formula>
    </cfRule>
  </conditionalFormatting>
  <conditionalFormatting sqref="K14:K18">
    <cfRule type="expression" dxfId="10424" priority="431">
      <formula>$C14&lt;$E$3</formula>
    </cfRule>
  </conditionalFormatting>
  <conditionalFormatting sqref="K14:K18">
    <cfRule type="expression" dxfId="10423" priority="430">
      <formula>$E14=""</formula>
    </cfRule>
  </conditionalFormatting>
  <conditionalFormatting sqref="K14:K18">
    <cfRule type="expression" dxfId="10422" priority="428">
      <formula>$E14=""</formula>
    </cfRule>
  </conditionalFormatting>
  <conditionalFormatting sqref="K14:K20">
    <cfRule type="expression" dxfId="10421" priority="426">
      <formula>$C14&lt;$E$3</formula>
    </cfRule>
  </conditionalFormatting>
  <conditionalFormatting sqref="K14:K20">
    <cfRule type="expression" dxfId="10420" priority="423">
      <formula>$C14=$E$3</formula>
    </cfRule>
    <cfRule type="expression" dxfId="10419" priority="424">
      <formula>$C14&lt;$E$3</formula>
    </cfRule>
    <cfRule type="cellIs" dxfId="10418" priority="425" operator="equal">
      <formula>0</formula>
    </cfRule>
    <cfRule type="expression" dxfId="10417" priority="427">
      <formula>$C14&gt;$E$3</formula>
    </cfRule>
  </conditionalFormatting>
  <conditionalFormatting sqref="K14:K20">
    <cfRule type="expression" dxfId="10416" priority="422">
      <formula>$E14=""</formula>
    </cfRule>
  </conditionalFormatting>
  <conditionalFormatting sqref="K14:K20">
    <cfRule type="expression" dxfId="10415" priority="421">
      <formula>$E14=""</formula>
    </cfRule>
  </conditionalFormatting>
  <conditionalFormatting sqref="K14:K20">
    <cfRule type="expression" dxfId="10414" priority="420">
      <formula>$E14=""</formula>
    </cfRule>
  </conditionalFormatting>
  <conditionalFormatting sqref="K23:K29">
    <cfRule type="cellIs" dxfId="10413" priority="419" stopIfTrue="1" operator="lessThan">
      <formula>0</formula>
    </cfRule>
  </conditionalFormatting>
  <conditionalFormatting sqref="K23:K29">
    <cfRule type="expression" dxfId="10412" priority="417">
      <formula>$C23&lt;$E$3</formula>
    </cfRule>
  </conditionalFormatting>
  <conditionalFormatting sqref="K23:K29">
    <cfRule type="expression" dxfId="10411" priority="414">
      <formula>$C23=$E$3</formula>
    </cfRule>
    <cfRule type="expression" dxfId="10410" priority="415">
      <formula>$C23&lt;$E$3</formula>
    </cfRule>
    <cfRule type="cellIs" dxfId="10409" priority="416" operator="equal">
      <formula>0</formula>
    </cfRule>
    <cfRule type="expression" dxfId="10408" priority="418">
      <formula>$C23&gt;$E$3</formula>
    </cfRule>
  </conditionalFormatting>
  <conditionalFormatting sqref="K23:K29">
    <cfRule type="expression" dxfId="10407" priority="413">
      <formula>$E23=""</formula>
    </cfRule>
  </conditionalFormatting>
  <conditionalFormatting sqref="K23:K29">
    <cfRule type="expression" dxfId="10406" priority="412">
      <formula>$E23=""</formula>
    </cfRule>
  </conditionalFormatting>
  <conditionalFormatting sqref="K23:K29">
    <cfRule type="expression" dxfId="10405" priority="411">
      <formula>$E23=""</formula>
    </cfRule>
  </conditionalFormatting>
  <conditionalFormatting sqref="K28">
    <cfRule type="expression" dxfId="10404" priority="410">
      <formula>$C28&lt;$E$3</formula>
    </cfRule>
  </conditionalFormatting>
  <conditionalFormatting sqref="K28">
    <cfRule type="expression" dxfId="10403" priority="406">
      <formula>$C28=$E$3</formula>
    </cfRule>
    <cfRule type="expression" dxfId="10402" priority="407">
      <formula>$C28&lt;$E$3</formula>
    </cfRule>
    <cfRule type="cellIs" dxfId="10401" priority="408" operator="equal">
      <formula>0</formula>
    </cfRule>
    <cfRule type="expression" dxfId="10400" priority="409">
      <formula>$C28&gt;$E$3</formula>
    </cfRule>
  </conditionalFormatting>
  <conditionalFormatting sqref="K28">
    <cfRule type="expression" dxfId="10399" priority="405">
      <formula>$C28&lt;$E$3</formula>
    </cfRule>
  </conditionalFormatting>
  <conditionalFormatting sqref="K28">
    <cfRule type="expression" dxfId="10398" priority="401">
      <formula>$C28=$E$3</formula>
    </cfRule>
    <cfRule type="expression" dxfId="10397" priority="402">
      <formula>$C28&lt;$E$3</formula>
    </cfRule>
    <cfRule type="cellIs" dxfId="10396" priority="403" operator="equal">
      <formula>0</formula>
    </cfRule>
    <cfRule type="expression" dxfId="10395" priority="404">
      <formula>$C28&gt;$E$3</formula>
    </cfRule>
  </conditionalFormatting>
  <conditionalFormatting sqref="K28">
    <cfRule type="expression" dxfId="10394" priority="400">
      <formula>$C28&lt;$E$3</formula>
    </cfRule>
  </conditionalFormatting>
  <conditionalFormatting sqref="K28">
    <cfRule type="expression" dxfId="10393" priority="396">
      <formula>$C28=$E$3</formula>
    </cfRule>
    <cfRule type="expression" dxfId="10392" priority="397">
      <formula>$C28&lt;$E$3</formula>
    </cfRule>
    <cfRule type="cellIs" dxfId="10391" priority="398" operator="equal">
      <formula>0</formula>
    </cfRule>
    <cfRule type="expression" dxfId="10390" priority="399">
      <formula>$C28&gt;$E$3</formula>
    </cfRule>
  </conditionalFormatting>
  <conditionalFormatting sqref="K28">
    <cfRule type="expression" dxfId="10389" priority="395">
      <formula>$C28&lt;$E$3</formula>
    </cfRule>
  </conditionalFormatting>
  <conditionalFormatting sqref="K28">
    <cfRule type="expression" dxfId="10388" priority="391">
      <formula>$C28=$E$3</formula>
    </cfRule>
    <cfRule type="expression" dxfId="10387" priority="392">
      <formula>$C28&lt;$E$3</formula>
    </cfRule>
    <cfRule type="cellIs" dxfId="10386" priority="393" operator="equal">
      <formula>0</formula>
    </cfRule>
    <cfRule type="expression" dxfId="10385" priority="394">
      <formula>$C28&gt;$E$3</formula>
    </cfRule>
  </conditionalFormatting>
  <conditionalFormatting sqref="K28">
    <cfRule type="expression" dxfId="10384" priority="390">
      <formula>$E28=""</formula>
    </cfRule>
  </conditionalFormatting>
  <conditionalFormatting sqref="K28">
    <cfRule type="expression" dxfId="10383" priority="389">
      <formula>$C28&lt;$E$3</formula>
    </cfRule>
  </conditionalFormatting>
  <conditionalFormatting sqref="K28">
    <cfRule type="expression" dxfId="10382" priority="388">
      <formula>$E28=""</formula>
    </cfRule>
  </conditionalFormatting>
  <conditionalFormatting sqref="K28">
    <cfRule type="expression" dxfId="10381" priority="387">
      <formula>$E28=""</formula>
    </cfRule>
  </conditionalFormatting>
  <conditionalFormatting sqref="K28">
    <cfRule type="expression" dxfId="10380" priority="386">
      <formula>$C28&lt;$E$3</formula>
    </cfRule>
  </conditionalFormatting>
  <conditionalFormatting sqref="K28">
    <cfRule type="expression" dxfId="10379" priority="385">
      <formula>$E28=""</formula>
    </cfRule>
  </conditionalFormatting>
  <conditionalFormatting sqref="K28">
    <cfRule type="expression" dxfId="10378" priority="384">
      <formula>$C28&lt;$E$3</formula>
    </cfRule>
  </conditionalFormatting>
  <conditionalFormatting sqref="K28">
    <cfRule type="expression" dxfId="10377" priority="383">
      <formula>$E28=""</formula>
    </cfRule>
  </conditionalFormatting>
  <conditionalFormatting sqref="K28">
    <cfRule type="expression" dxfId="10376" priority="381">
      <formula>$E28=""</formula>
    </cfRule>
  </conditionalFormatting>
  <conditionalFormatting sqref="K28">
    <cfRule type="expression" dxfId="10375" priority="376">
      <formula>$C28=$E$3</formula>
    </cfRule>
    <cfRule type="expression" dxfId="10374" priority="377">
      <formula>$C28&lt;$E$3</formula>
    </cfRule>
    <cfRule type="cellIs" dxfId="10373" priority="378" operator="equal">
      <formula>0</formula>
    </cfRule>
    <cfRule type="expression" dxfId="10372" priority="379">
      <formula>$C28&gt;$E$3</formula>
    </cfRule>
  </conditionalFormatting>
  <conditionalFormatting sqref="K28">
    <cfRule type="expression" dxfId="10371" priority="375">
      <formula>$C28&lt;$E$3</formula>
    </cfRule>
  </conditionalFormatting>
  <conditionalFormatting sqref="K28">
    <cfRule type="expression" dxfId="10370" priority="371">
      <formula>$C28=$E$3</formula>
    </cfRule>
    <cfRule type="expression" dxfId="10369" priority="372">
      <formula>$C28&lt;$E$3</formula>
    </cfRule>
    <cfRule type="cellIs" dxfId="10368" priority="373" operator="equal">
      <formula>0</formula>
    </cfRule>
    <cfRule type="expression" dxfId="10367" priority="374">
      <formula>$C28&gt;$E$3</formula>
    </cfRule>
  </conditionalFormatting>
  <conditionalFormatting sqref="K28">
    <cfRule type="expression" dxfId="10366" priority="370">
      <formula>$C28&lt;$E$3</formula>
    </cfRule>
  </conditionalFormatting>
  <conditionalFormatting sqref="K28">
    <cfRule type="expression" dxfId="10365" priority="366">
      <formula>$C28=$E$3</formula>
    </cfRule>
    <cfRule type="expression" dxfId="10364" priority="367">
      <formula>$C28&lt;$E$3</formula>
    </cfRule>
    <cfRule type="cellIs" dxfId="10363" priority="368" operator="equal">
      <formula>0</formula>
    </cfRule>
    <cfRule type="expression" dxfId="10362" priority="369">
      <formula>$C28&gt;$E$3</formula>
    </cfRule>
  </conditionalFormatting>
  <conditionalFormatting sqref="K28">
    <cfRule type="expression" dxfId="10361" priority="365">
      <formula>$C28&lt;$E$3</formula>
    </cfRule>
  </conditionalFormatting>
  <conditionalFormatting sqref="K28">
    <cfRule type="expression" dxfId="10360" priority="361">
      <formula>$C28=$E$3</formula>
    </cfRule>
    <cfRule type="expression" dxfId="10359" priority="362">
      <formula>$C28&lt;$E$3</formula>
    </cfRule>
    <cfRule type="cellIs" dxfId="10358" priority="363" operator="equal">
      <formula>0</formula>
    </cfRule>
    <cfRule type="expression" dxfId="10357" priority="364">
      <formula>$C28&gt;$E$3</formula>
    </cfRule>
  </conditionalFormatting>
  <conditionalFormatting sqref="K28">
    <cfRule type="expression" dxfId="10356" priority="360">
      <formula>$E28=""</formula>
    </cfRule>
  </conditionalFormatting>
  <conditionalFormatting sqref="K28">
    <cfRule type="expression" dxfId="10355" priority="359">
      <formula>$C28&lt;$E$3</formula>
    </cfRule>
  </conditionalFormatting>
  <conditionalFormatting sqref="K28">
    <cfRule type="expression" dxfId="10354" priority="358">
      <formula>$E28=""</formula>
    </cfRule>
  </conditionalFormatting>
  <conditionalFormatting sqref="K28">
    <cfRule type="expression" dxfId="10353" priority="357">
      <formula>$E28=""</formula>
    </cfRule>
  </conditionalFormatting>
  <conditionalFormatting sqref="K28">
    <cfRule type="expression" dxfId="10352" priority="356">
      <formula>$C28&lt;$E$3</formula>
    </cfRule>
  </conditionalFormatting>
  <conditionalFormatting sqref="K28">
    <cfRule type="expression" dxfId="10351" priority="355">
      <formula>$E28=""</formula>
    </cfRule>
  </conditionalFormatting>
  <conditionalFormatting sqref="K28">
    <cfRule type="expression" dxfId="10350" priority="354">
      <formula>$C28&lt;$E$3</formula>
    </cfRule>
  </conditionalFormatting>
  <conditionalFormatting sqref="K28">
    <cfRule type="expression" dxfId="10349" priority="353">
      <formula>$E28=""</formula>
    </cfRule>
  </conditionalFormatting>
  <conditionalFormatting sqref="K28">
    <cfRule type="expression" dxfId="10348" priority="351">
      <formula>$E28=""</formula>
    </cfRule>
  </conditionalFormatting>
  <conditionalFormatting sqref="K23:K27">
    <cfRule type="expression" dxfId="10347" priority="346">
      <formula>$C23=$E$3</formula>
    </cfRule>
    <cfRule type="expression" dxfId="10346" priority="347">
      <formula>$C23&lt;$E$3</formula>
    </cfRule>
    <cfRule type="cellIs" dxfId="10345" priority="348" operator="equal">
      <formula>0</formula>
    </cfRule>
    <cfRule type="expression" dxfId="10344" priority="349">
      <formula>$C23&gt;$E$3</formula>
    </cfRule>
  </conditionalFormatting>
  <conditionalFormatting sqref="K23:K27">
    <cfRule type="expression" dxfId="10343" priority="345">
      <formula>$C23&lt;$E$3</formula>
    </cfRule>
  </conditionalFormatting>
  <conditionalFormatting sqref="K23:K27">
    <cfRule type="expression" dxfId="10342" priority="341">
      <formula>$C23=$E$3</formula>
    </cfRule>
    <cfRule type="expression" dxfId="10341" priority="342">
      <formula>$C23&lt;$E$3</formula>
    </cfRule>
    <cfRule type="cellIs" dxfId="10340" priority="343" operator="equal">
      <formula>0</formula>
    </cfRule>
    <cfRule type="expression" dxfId="10339" priority="344">
      <formula>$C23&gt;$E$3</formula>
    </cfRule>
  </conditionalFormatting>
  <conditionalFormatting sqref="K23:K27">
    <cfRule type="expression" dxfId="10338" priority="340">
      <formula>$C23&lt;$E$3</formula>
    </cfRule>
  </conditionalFormatting>
  <conditionalFormatting sqref="K23:K27">
    <cfRule type="expression" dxfId="10337" priority="336">
      <formula>$C23=$E$3</formula>
    </cfRule>
    <cfRule type="expression" dxfId="10336" priority="337">
      <formula>$C23&lt;$E$3</formula>
    </cfRule>
    <cfRule type="cellIs" dxfId="10335" priority="338" operator="equal">
      <formula>0</formula>
    </cfRule>
    <cfRule type="expression" dxfId="10334" priority="339">
      <formula>$C23&gt;$E$3</formula>
    </cfRule>
  </conditionalFormatting>
  <conditionalFormatting sqref="K23:K27">
    <cfRule type="expression" dxfId="10333" priority="335">
      <formula>$C23&lt;$E$3</formula>
    </cfRule>
  </conditionalFormatting>
  <conditionalFormatting sqref="K23:K27">
    <cfRule type="expression" dxfId="10332" priority="331">
      <formula>$C23=$E$3</formula>
    </cfRule>
    <cfRule type="expression" dxfId="10331" priority="332">
      <formula>$C23&lt;$E$3</formula>
    </cfRule>
    <cfRule type="cellIs" dxfId="10330" priority="333" operator="equal">
      <formula>0</formula>
    </cfRule>
    <cfRule type="expression" dxfId="10329" priority="334">
      <formula>$C23&gt;$E$3</formula>
    </cfRule>
  </conditionalFormatting>
  <conditionalFormatting sqref="K23:K27">
    <cfRule type="expression" dxfId="10328" priority="330">
      <formula>$E23=""</formula>
    </cfRule>
  </conditionalFormatting>
  <conditionalFormatting sqref="K23:K27">
    <cfRule type="expression" dxfId="10327" priority="329">
      <formula>$C23&lt;$E$3</formula>
    </cfRule>
  </conditionalFormatting>
  <conditionalFormatting sqref="K23:K27">
    <cfRule type="expression" dxfId="10326" priority="328">
      <formula>$E23=""</formula>
    </cfRule>
  </conditionalFormatting>
  <conditionalFormatting sqref="K23:K27">
    <cfRule type="expression" dxfId="10325" priority="327">
      <formula>$E23=""</formula>
    </cfRule>
  </conditionalFormatting>
  <conditionalFormatting sqref="K23:K27">
    <cfRule type="expression" dxfId="10324" priority="326">
      <formula>$C23&lt;$E$3</formula>
    </cfRule>
  </conditionalFormatting>
  <conditionalFormatting sqref="K23:K27">
    <cfRule type="expression" dxfId="10323" priority="325">
      <formula>$E23=""</formula>
    </cfRule>
  </conditionalFormatting>
  <conditionalFormatting sqref="K23:K27">
    <cfRule type="expression" dxfId="10322" priority="324">
      <formula>$C23&lt;$E$3</formula>
    </cfRule>
  </conditionalFormatting>
  <conditionalFormatting sqref="K23:K27">
    <cfRule type="expression" dxfId="10321" priority="323">
      <formula>$E23=""</formula>
    </cfRule>
  </conditionalFormatting>
  <conditionalFormatting sqref="K23:K27">
    <cfRule type="expression" dxfId="10320" priority="321">
      <formula>$E23=""</formula>
    </cfRule>
  </conditionalFormatting>
  <conditionalFormatting sqref="K23:K27">
    <cfRule type="expression" dxfId="10319" priority="316">
      <formula>$C23=$E$3</formula>
    </cfRule>
    <cfRule type="expression" dxfId="10318" priority="317">
      <formula>$C23&lt;$E$3</formula>
    </cfRule>
    <cfRule type="cellIs" dxfId="10317" priority="318" operator="equal">
      <formula>0</formula>
    </cfRule>
    <cfRule type="expression" dxfId="10316" priority="319">
      <formula>$C23&gt;$E$3</formula>
    </cfRule>
  </conditionalFormatting>
  <conditionalFormatting sqref="K23:K27">
    <cfRule type="expression" dxfId="10315" priority="315">
      <formula>$C23&lt;$E$3</formula>
    </cfRule>
  </conditionalFormatting>
  <conditionalFormatting sqref="K23:K27">
    <cfRule type="expression" dxfId="10314" priority="311">
      <formula>$C23=$E$3</formula>
    </cfRule>
    <cfRule type="expression" dxfId="10313" priority="312">
      <formula>$C23&lt;$E$3</formula>
    </cfRule>
    <cfRule type="cellIs" dxfId="10312" priority="313" operator="equal">
      <formula>0</formula>
    </cfRule>
    <cfRule type="expression" dxfId="10311" priority="314">
      <formula>$C23&gt;$E$3</formula>
    </cfRule>
  </conditionalFormatting>
  <conditionalFormatting sqref="K23:K27">
    <cfRule type="expression" dxfId="10310" priority="310">
      <formula>$C23&lt;$E$3</formula>
    </cfRule>
  </conditionalFormatting>
  <conditionalFormatting sqref="K23:K27">
    <cfRule type="expression" dxfId="10309" priority="306">
      <formula>$C23=$E$3</formula>
    </cfRule>
    <cfRule type="expression" dxfId="10308" priority="307">
      <formula>$C23&lt;$E$3</formula>
    </cfRule>
    <cfRule type="cellIs" dxfId="10307" priority="308" operator="equal">
      <formula>0</formula>
    </cfRule>
    <cfRule type="expression" dxfId="10306" priority="309">
      <formula>$C23&gt;$E$3</formula>
    </cfRule>
  </conditionalFormatting>
  <conditionalFormatting sqref="K23:K27">
    <cfRule type="expression" dxfId="10305" priority="305">
      <formula>$C23&lt;$E$3</formula>
    </cfRule>
  </conditionalFormatting>
  <conditionalFormatting sqref="K23:K27">
    <cfRule type="expression" dxfId="10304" priority="301">
      <formula>$C23=$E$3</formula>
    </cfRule>
    <cfRule type="expression" dxfId="10303" priority="302">
      <formula>$C23&lt;$E$3</formula>
    </cfRule>
    <cfRule type="cellIs" dxfId="10302" priority="303" operator="equal">
      <formula>0</formula>
    </cfRule>
    <cfRule type="expression" dxfId="10301" priority="304">
      <formula>$C23&gt;$E$3</formula>
    </cfRule>
  </conditionalFormatting>
  <conditionalFormatting sqref="K23:K27">
    <cfRule type="expression" dxfId="10300" priority="300">
      <formula>$E23=""</formula>
    </cfRule>
  </conditionalFormatting>
  <conditionalFormatting sqref="K23:K27">
    <cfRule type="expression" dxfId="10299" priority="299">
      <formula>$C23&lt;$E$3</formula>
    </cfRule>
  </conditionalFormatting>
  <conditionalFormatting sqref="K23:K27">
    <cfRule type="expression" dxfId="10298" priority="298">
      <formula>$E23=""</formula>
    </cfRule>
  </conditionalFormatting>
  <conditionalFormatting sqref="K23:K27">
    <cfRule type="expression" dxfId="10297" priority="297">
      <formula>$E23=""</formula>
    </cfRule>
  </conditionalFormatting>
  <conditionalFormatting sqref="K23:K27">
    <cfRule type="expression" dxfId="10296" priority="296">
      <formula>$C23&lt;$E$3</formula>
    </cfRule>
  </conditionalFormatting>
  <conditionalFormatting sqref="K23:K27">
    <cfRule type="expression" dxfId="10295" priority="295">
      <formula>$E23=""</formula>
    </cfRule>
  </conditionalFormatting>
  <conditionalFormatting sqref="K23:K27">
    <cfRule type="expression" dxfId="10294" priority="294">
      <formula>$C23&lt;$E$3</formula>
    </cfRule>
  </conditionalFormatting>
  <conditionalFormatting sqref="K23:K27">
    <cfRule type="expression" dxfId="10293" priority="293">
      <formula>$E23=""</formula>
    </cfRule>
  </conditionalFormatting>
  <conditionalFormatting sqref="K23:K27">
    <cfRule type="expression" dxfId="10292" priority="291">
      <formula>$E23=""</formula>
    </cfRule>
  </conditionalFormatting>
  <conditionalFormatting sqref="K23:K29">
    <cfRule type="expression" dxfId="10291" priority="289">
      <formula>$C23&lt;$E$3</formula>
    </cfRule>
  </conditionalFormatting>
  <conditionalFormatting sqref="K23:K29">
    <cfRule type="expression" dxfId="10290" priority="286">
      <formula>$C23=$E$3</formula>
    </cfRule>
    <cfRule type="expression" dxfId="10289" priority="287">
      <formula>$C23&lt;$E$3</formula>
    </cfRule>
    <cfRule type="cellIs" dxfId="10288" priority="288" operator="equal">
      <formula>0</formula>
    </cfRule>
    <cfRule type="expression" dxfId="10287" priority="290">
      <formula>$C23&gt;$E$3</formula>
    </cfRule>
  </conditionalFormatting>
  <conditionalFormatting sqref="K23:K29">
    <cfRule type="expression" dxfId="10286" priority="285">
      <formula>$E23=""</formula>
    </cfRule>
  </conditionalFormatting>
  <conditionalFormatting sqref="K23:K29">
    <cfRule type="expression" dxfId="10285" priority="284">
      <formula>$E23=""</formula>
    </cfRule>
  </conditionalFormatting>
  <conditionalFormatting sqref="K23:K29">
    <cfRule type="expression" dxfId="10284" priority="283">
      <formula>$E23=""</formula>
    </cfRule>
  </conditionalFormatting>
  <conditionalFormatting sqref="K32:K38">
    <cfRule type="cellIs" dxfId="10283" priority="282" stopIfTrue="1" operator="lessThan">
      <formula>0</formula>
    </cfRule>
  </conditionalFormatting>
  <conditionalFormatting sqref="K32:K38">
    <cfRule type="expression" dxfId="10282" priority="280">
      <formula>$C32&lt;$E$3</formula>
    </cfRule>
  </conditionalFormatting>
  <conditionalFormatting sqref="K32:K38">
    <cfRule type="expression" dxfId="10281" priority="277">
      <formula>$C32=$E$3</formula>
    </cfRule>
    <cfRule type="expression" dxfId="10280" priority="278">
      <formula>$C32&lt;$E$3</formula>
    </cfRule>
    <cfRule type="cellIs" dxfId="10279" priority="279" operator="equal">
      <formula>0</formula>
    </cfRule>
    <cfRule type="expression" dxfId="10278" priority="281">
      <formula>$C32&gt;$E$3</formula>
    </cfRule>
  </conditionalFormatting>
  <conditionalFormatting sqref="K32:K38">
    <cfRule type="expression" dxfId="10277" priority="276">
      <formula>$E32=""</formula>
    </cfRule>
  </conditionalFormatting>
  <conditionalFormatting sqref="K32:K38">
    <cfRule type="expression" dxfId="10276" priority="275">
      <formula>$E32=""</formula>
    </cfRule>
  </conditionalFormatting>
  <conditionalFormatting sqref="K32:K38">
    <cfRule type="expression" dxfId="10275" priority="274">
      <formula>$E32=""</formula>
    </cfRule>
  </conditionalFormatting>
  <conditionalFormatting sqref="K37">
    <cfRule type="expression" dxfId="10274" priority="273">
      <formula>$C37&lt;$E$3</formula>
    </cfRule>
  </conditionalFormatting>
  <conditionalFormatting sqref="K37">
    <cfRule type="expression" dxfId="10273" priority="269">
      <formula>$C37=$E$3</formula>
    </cfRule>
    <cfRule type="expression" dxfId="10272" priority="270">
      <formula>$C37&lt;$E$3</formula>
    </cfRule>
    <cfRule type="cellIs" dxfId="10271" priority="271" operator="equal">
      <formula>0</formula>
    </cfRule>
    <cfRule type="expression" dxfId="10270" priority="272">
      <formula>$C37&gt;$E$3</formula>
    </cfRule>
  </conditionalFormatting>
  <conditionalFormatting sqref="K37">
    <cfRule type="expression" dxfId="10269" priority="268">
      <formula>$C37&lt;$E$3</formula>
    </cfRule>
  </conditionalFormatting>
  <conditionalFormatting sqref="K37">
    <cfRule type="expression" dxfId="10268" priority="264">
      <formula>$C37=$E$3</formula>
    </cfRule>
    <cfRule type="expression" dxfId="10267" priority="265">
      <formula>$C37&lt;$E$3</formula>
    </cfRule>
    <cfRule type="cellIs" dxfId="10266" priority="266" operator="equal">
      <formula>0</formula>
    </cfRule>
    <cfRule type="expression" dxfId="10265" priority="267">
      <formula>$C37&gt;$E$3</formula>
    </cfRule>
  </conditionalFormatting>
  <conditionalFormatting sqref="K37">
    <cfRule type="expression" dxfId="10264" priority="253">
      <formula>$E37=""</formula>
    </cfRule>
  </conditionalFormatting>
  <conditionalFormatting sqref="K37">
    <cfRule type="expression" dxfId="10263" priority="252">
      <formula>$C37&lt;$E$3</formula>
    </cfRule>
  </conditionalFormatting>
  <conditionalFormatting sqref="K37">
    <cfRule type="expression" dxfId="10262" priority="251">
      <formula>$E37=""</formula>
    </cfRule>
  </conditionalFormatting>
  <conditionalFormatting sqref="K37">
    <cfRule type="expression" dxfId="10261" priority="250">
      <formula>$E37=""</formula>
    </cfRule>
  </conditionalFormatting>
  <conditionalFormatting sqref="K37">
    <cfRule type="expression" dxfId="10260" priority="249">
      <formula>$C37&lt;$E$3</formula>
    </cfRule>
  </conditionalFormatting>
  <conditionalFormatting sqref="K37">
    <cfRule type="expression" dxfId="10259" priority="248">
      <formula>$E37=""</formula>
    </cfRule>
  </conditionalFormatting>
  <conditionalFormatting sqref="K37">
    <cfRule type="expression" dxfId="10258" priority="247">
      <formula>$C37&lt;$E$3</formula>
    </cfRule>
  </conditionalFormatting>
  <conditionalFormatting sqref="K37">
    <cfRule type="expression" dxfId="10257" priority="246">
      <formula>$E37=""</formula>
    </cfRule>
  </conditionalFormatting>
  <conditionalFormatting sqref="K37">
    <cfRule type="expression" dxfId="10256" priority="244">
      <formula>$E37=""</formula>
    </cfRule>
  </conditionalFormatting>
  <conditionalFormatting sqref="K37">
    <cfRule type="expression" dxfId="10255" priority="239">
      <formula>$C37=$E$3</formula>
    </cfRule>
    <cfRule type="expression" dxfId="10254" priority="240">
      <formula>$C37&lt;$E$3</formula>
    </cfRule>
    <cfRule type="cellIs" dxfId="10253" priority="241" operator="equal">
      <formula>0</formula>
    </cfRule>
    <cfRule type="expression" dxfId="10252" priority="242">
      <formula>$C37&gt;$E$3</formula>
    </cfRule>
  </conditionalFormatting>
  <conditionalFormatting sqref="K37">
    <cfRule type="expression" dxfId="10251" priority="238">
      <formula>$C37&lt;$E$3</formula>
    </cfRule>
  </conditionalFormatting>
  <conditionalFormatting sqref="K37">
    <cfRule type="expression" dxfId="10250" priority="234">
      <formula>$C37=$E$3</formula>
    </cfRule>
    <cfRule type="expression" dxfId="10249" priority="235">
      <formula>$C37&lt;$E$3</formula>
    </cfRule>
    <cfRule type="cellIs" dxfId="10248" priority="236" operator="equal">
      <formula>0</formula>
    </cfRule>
    <cfRule type="expression" dxfId="10247" priority="237">
      <formula>$C37&gt;$E$3</formula>
    </cfRule>
  </conditionalFormatting>
  <conditionalFormatting sqref="K37">
    <cfRule type="expression" dxfId="10246" priority="223">
      <formula>$E37=""</formula>
    </cfRule>
  </conditionalFormatting>
  <conditionalFormatting sqref="K37">
    <cfRule type="expression" dxfId="10245" priority="222">
      <formula>$C37&lt;$E$3</formula>
    </cfRule>
  </conditionalFormatting>
  <conditionalFormatting sqref="K37">
    <cfRule type="expression" dxfId="10244" priority="221">
      <formula>$E37=""</formula>
    </cfRule>
  </conditionalFormatting>
  <conditionalFormatting sqref="K37">
    <cfRule type="expression" dxfId="10243" priority="220">
      <formula>$E37=""</formula>
    </cfRule>
  </conditionalFormatting>
  <conditionalFormatting sqref="K37">
    <cfRule type="expression" dxfId="10242" priority="219">
      <formula>$C37&lt;$E$3</formula>
    </cfRule>
  </conditionalFormatting>
  <conditionalFormatting sqref="K37">
    <cfRule type="expression" dxfId="10241" priority="218">
      <formula>$E37=""</formula>
    </cfRule>
  </conditionalFormatting>
  <conditionalFormatting sqref="K37">
    <cfRule type="expression" dxfId="10240" priority="217">
      <formula>$C37&lt;$E$3</formula>
    </cfRule>
  </conditionalFormatting>
  <conditionalFormatting sqref="K37">
    <cfRule type="expression" dxfId="10239" priority="216">
      <formula>$E37=""</formula>
    </cfRule>
  </conditionalFormatting>
  <conditionalFormatting sqref="K37">
    <cfRule type="expression" dxfId="10238" priority="214">
      <formula>$E37=""</formula>
    </cfRule>
  </conditionalFormatting>
  <conditionalFormatting sqref="K32:K36">
    <cfRule type="expression" dxfId="10237" priority="209">
      <formula>$C32=$E$3</formula>
    </cfRule>
    <cfRule type="expression" dxfId="10236" priority="210">
      <formula>$C32&lt;$E$3</formula>
    </cfRule>
    <cfRule type="cellIs" dxfId="10235" priority="211" operator="equal">
      <formula>0</formula>
    </cfRule>
    <cfRule type="expression" dxfId="10234" priority="212">
      <formula>$C32&gt;$E$3</formula>
    </cfRule>
  </conditionalFormatting>
  <conditionalFormatting sqref="K32:K36">
    <cfRule type="expression" dxfId="10233" priority="208">
      <formula>$C32&lt;$E$3</formula>
    </cfRule>
  </conditionalFormatting>
  <conditionalFormatting sqref="K32:K36">
    <cfRule type="expression" dxfId="10232" priority="204">
      <formula>$C32=$E$3</formula>
    </cfRule>
    <cfRule type="expression" dxfId="10231" priority="205">
      <formula>$C32&lt;$E$3</formula>
    </cfRule>
    <cfRule type="cellIs" dxfId="10230" priority="206" operator="equal">
      <formula>0</formula>
    </cfRule>
    <cfRule type="expression" dxfId="10229" priority="207">
      <formula>$C32&gt;$E$3</formula>
    </cfRule>
  </conditionalFormatting>
  <conditionalFormatting sqref="K32:K36">
    <cfRule type="expression" dxfId="10228" priority="193">
      <formula>$E32=""</formula>
    </cfRule>
  </conditionalFormatting>
  <conditionalFormatting sqref="K32:K36">
    <cfRule type="expression" dxfId="10227" priority="192">
      <formula>$C32&lt;$E$3</formula>
    </cfRule>
  </conditionalFormatting>
  <conditionalFormatting sqref="K32:K36">
    <cfRule type="expression" dxfId="10226" priority="191">
      <formula>$E32=""</formula>
    </cfRule>
  </conditionalFormatting>
  <conditionalFormatting sqref="K32:K36">
    <cfRule type="expression" dxfId="10225" priority="190">
      <formula>$E32=""</formula>
    </cfRule>
  </conditionalFormatting>
  <conditionalFormatting sqref="K32:K36">
    <cfRule type="expression" dxfId="10224" priority="189">
      <formula>$C32&lt;$E$3</formula>
    </cfRule>
  </conditionalFormatting>
  <conditionalFormatting sqref="K32:K36">
    <cfRule type="expression" dxfId="10223" priority="188">
      <formula>$E32=""</formula>
    </cfRule>
  </conditionalFormatting>
  <conditionalFormatting sqref="K32:K36">
    <cfRule type="expression" dxfId="10222" priority="187">
      <formula>$C32&lt;$E$3</formula>
    </cfRule>
  </conditionalFormatting>
  <conditionalFormatting sqref="K32:K36">
    <cfRule type="expression" dxfId="10221" priority="186">
      <formula>$E32=""</formula>
    </cfRule>
  </conditionalFormatting>
  <conditionalFormatting sqref="K32:K36">
    <cfRule type="expression" dxfId="10220" priority="184">
      <formula>$E32=""</formula>
    </cfRule>
  </conditionalFormatting>
  <conditionalFormatting sqref="K32:K36">
    <cfRule type="expression" dxfId="10219" priority="179">
      <formula>$C32=$E$3</formula>
    </cfRule>
    <cfRule type="expression" dxfId="10218" priority="180">
      <formula>$C32&lt;$E$3</formula>
    </cfRule>
    <cfRule type="cellIs" dxfId="10217" priority="181" operator="equal">
      <formula>0</formula>
    </cfRule>
    <cfRule type="expression" dxfId="10216" priority="182">
      <formula>$C32&gt;$E$3</formula>
    </cfRule>
  </conditionalFormatting>
  <conditionalFormatting sqref="K32:K36">
    <cfRule type="expression" dxfId="10215" priority="178">
      <formula>$C32&lt;$E$3</formula>
    </cfRule>
  </conditionalFormatting>
  <conditionalFormatting sqref="K32:K36">
    <cfRule type="expression" dxfId="10214" priority="174">
      <formula>$C32=$E$3</formula>
    </cfRule>
    <cfRule type="expression" dxfId="10213" priority="175">
      <formula>$C32&lt;$E$3</formula>
    </cfRule>
    <cfRule type="cellIs" dxfId="10212" priority="176" operator="equal">
      <formula>0</formula>
    </cfRule>
    <cfRule type="expression" dxfId="10211" priority="177">
      <formula>$C32&gt;$E$3</formula>
    </cfRule>
  </conditionalFormatting>
  <conditionalFormatting sqref="K32:K36">
    <cfRule type="expression" dxfId="10210" priority="173">
      <formula>$C32&lt;$E$3</formula>
    </cfRule>
  </conditionalFormatting>
  <conditionalFormatting sqref="K32:K36">
    <cfRule type="expression" dxfId="10209" priority="169">
      <formula>$C32=$E$3</formula>
    </cfRule>
    <cfRule type="expression" dxfId="10208" priority="170">
      <formula>$C32&lt;$E$3</formula>
    </cfRule>
    <cfRule type="cellIs" dxfId="10207" priority="171" operator="equal">
      <formula>0</formula>
    </cfRule>
    <cfRule type="expression" dxfId="10206" priority="172">
      <formula>$C32&gt;$E$3</formula>
    </cfRule>
  </conditionalFormatting>
  <conditionalFormatting sqref="K32:K36">
    <cfRule type="expression" dxfId="10205" priority="168">
      <formula>$C32&lt;$E$3</formula>
    </cfRule>
  </conditionalFormatting>
  <conditionalFormatting sqref="K32:K36">
    <cfRule type="expression" dxfId="10204" priority="164">
      <formula>$C32=$E$3</formula>
    </cfRule>
    <cfRule type="expression" dxfId="10203" priority="165">
      <formula>$C32&lt;$E$3</formula>
    </cfRule>
    <cfRule type="cellIs" dxfId="10202" priority="166" operator="equal">
      <formula>0</formula>
    </cfRule>
    <cfRule type="expression" dxfId="10201" priority="167">
      <formula>$C32&gt;$E$3</formula>
    </cfRule>
  </conditionalFormatting>
  <conditionalFormatting sqref="K32:K36">
    <cfRule type="expression" dxfId="10200" priority="163">
      <formula>$E32=""</formula>
    </cfRule>
  </conditionalFormatting>
  <conditionalFormatting sqref="K32:K36">
    <cfRule type="expression" dxfId="10199" priority="162">
      <formula>$C32&lt;$E$3</formula>
    </cfRule>
  </conditionalFormatting>
  <conditionalFormatting sqref="K32:K36">
    <cfRule type="expression" dxfId="10198" priority="161">
      <formula>$E32=""</formula>
    </cfRule>
  </conditionalFormatting>
  <conditionalFormatting sqref="K32:K36">
    <cfRule type="expression" dxfId="10197" priority="160">
      <formula>$E32=""</formula>
    </cfRule>
  </conditionalFormatting>
  <conditionalFormatting sqref="K32:K36">
    <cfRule type="expression" dxfId="10196" priority="159">
      <formula>$C32&lt;$E$3</formula>
    </cfRule>
  </conditionalFormatting>
  <conditionalFormatting sqref="K32:K36">
    <cfRule type="expression" dxfId="10195" priority="158">
      <formula>$E32=""</formula>
    </cfRule>
  </conditionalFormatting>
  <conditionalFormatting sqref="K32:K36">
    <cfRule type="expression" dxfId="10194" priority="157">
      <formula>$C32&lt;$E$3</formula>
    </cfRule>
  </conditionalFormatting>
  <conditionalFormatting sqref="K32:K36">
    <cfRule type="expression" dxfId="10193" priority="156">
      <formula>$E32=""</formula>
    </cfRule>
  </conditionalFormatting>
  <conditionalFormatting sqref="K32:K36">
    <cfRule type="expression" dxfId="10192" priority="154">
      <formula>$E32=""</formula>
    </cfRule>
  </conditionalFormatting>
  <conditionalFormatting sqref="K32:K38">
    <cfRule type="expression" dxfId="10191" priority="152">
      <formula>$C32&lt;$E$3</formula>
    </cfRule>
  </conditionalFormatting>
  <conditionalFormatting sqref="K32:K38">
    <cfRule type="expression" dxfId="10190" priority="149">
      <formula>$C32=$E$3</formula>
    </cfRule>
    <cfRule type="expression" dxfId="10189" priority="150">
      <formula>$C32&lt;$E$3</formula>
    </cfRule>
    <cfRule type="cellIs" dxfId="10188" priority="151" operator="equal">
      <formula>0</formula>
    </cfRule>
    <cfRule type="expression" dxfId="10187" priority="153">
      <formula>$C32&gt;$E$3</formula>
    </cfRule>
  </conditionalFormatting>
  <conditionalFormatting sqref="K32:K38">
    <cfRule type="expression" dxfId="10186" priority="148">
      <formula>$E32=""</formula>
    </cfRule>
  </conditionalFormatting>
  <conditionalFormatting sqref="K32:K38">
    <cfRule type="expression" dxfId="10185" priority="147">
      <formula>$E32=""</formula>
    </cfRule>
  </conditionalFormatting>
  <conditionalFormatting sqref="K32:K38">
    <cfRule type="expression" dxfId="10184" priority="146">
      <formula>$E32=""</formula>
    </cfRule>
  </conditionalFormatting>
  <conditionalFormatting sqref="K41:K47">
    <cfRule type="cellIs" dxfId="10183" priority="145" stopIfTrue="1" operator="lessThan">
      <formula>0</formula>
    </cfRule>
  </conditionalFormatting>
  <conditionalFormatting sqref="K41:K47">
    <cfRule type="expression" dxfId="10182" priority="143">
      <formula>$C41&lt;$E$3</formula>
    </cfRule>
  </conditionalFormatting>
  <conditionalFormatting sqref="K41:K47">
    <cfRule type="expression" dxfId="10181" priority="140">
      <formula>$C41=$E$3</formula>
    </cfRule>
    <cfRule type="expression" dxfId="10180" priority="141">
      <formula>$C41&lt;$E$3</formula>
    </cfRule>
    <cfRule type="cellIs" dxfId="10179" priority="142" operator="equal">
      <formula>0</formula>
    </cfRule>
    <cfRule type="expression" dxfId="10178" priority="144">
      <formula>$C41&gt;$E$3</formula>
    </cfRule>
  </conditionalFormatting>
  <conditionalFormatting sqref="K41:K47">
    <cfRule type="expression" dxfId="10177" priority="139">
      <formula>$E41=""</formula>
    </cfRule>
  </conditionalFormatting>
  <conditionalFormatting sqref="K41:K47">
    <cfRule type="expression" dxfId="10176" priority="138">
      <formula>$E41=""</formula>
    </cfRule>
  </conditionalFormatting>
  <conditionalFormatting sqref="K41:K47">
    <cfRule type="expression" dxfId="10175" priority="137">
      <formula>$E41=""</formula>
    </cfRule>
  </conditionalFormatting>
  <conditionalFormatting sqref="K46">
    <cfRule type="expression" dxfId="10174" priority="136">
      <formula>$C46&lt;$E$3</formula>
    </cfRule>
  </conditionalFormatting>
  <conditionalFormatting sqref="K46">
    <cfRule type="expression" dxfId="10173" priority="132">
      <formula>$C46=$E$3</formula>
    </cfRule>
    <cfRule type="expression" dxfId="10172" priority="133">
      <formula>$C46&lt;$E$3</formula>
    </cfRule>
    <cfRule type="cellIs" dxfId="10171" priority="134" operator="equal">
      <formula>0</formula>
    </cfRule>
    <cfRule type="expression" dxfId="10170" priority="135">
      <formula>$C46&gt;$E$3</formula>
    </cfRule>
  </conditionalFormatting>
  <conditionalFormatting sqref="K46">
    <cfRule type="expression" dxfId="10169" priority="131">
      <formula>$C46&lt;$E$3</formula>
    </cfRule>
  </conditionalFormatting>
  <conditionalFormatting sqref="K46">
    <cfRule type="expression" dxfId="10168" priority="127">
      <formula>$C46=$E$3</formula>
    </cfRule>
    <cfRule type="expression" dxfId="10167" priority="128">
      <formula>$C46&lt;$E$3</formula>
    </cfRule>
    <cfRule type="cellIs" dxfId="10166" priority="129" operator="equal">
      <formula>0</formula>
    </cfRule>
    <cfRule type="expression" dxfId="10165" priority="130">
      <formula>$C46&gt;$E$3</formula>
    </cfRule>
  </conditionalFormatting>
  <conditionalFormatting sqref="K46">
    <cfRule type="expression" dxfId="10164" priority="126">
      <formula>$C46&lt;$E$3</formula>
    </cfRule>
  </conditionalFormatting>
  <conditionalFormatting sqref="K46">
    <cfRule type="expression" dxfId="10163" priority="122">
      <formula>$C46=$E$3</formula>
    </cfRule>
    <cfRule type="expression" dxfId="10162" priority="123">
      <formula>$C46&lt;$E$3</formula>
    </cfRule>
    <cfRule type="cellIs" dxfId="10161" priority="124" operator="equal">
      <formula>0</formula>
    </cfRule>
    <cfRule type="expression" dxfId="10160" priority="125">
      <formula>$C46&gt;$E$3</formula>
    </cfRule>
  </conditionalFormatting>
  <conditionalFormatting sqref="K46">
    <cfRule type="expression" dxfId="10159" priority="121">
      <formula>$C46&lt;$E$3</formula>
    </cfRule>
  </conditionalFormatting>
  <conditionalFormatting sqref="K46">
    <cfRule type="expression" dxfId="10158" priority="117">
      <formula>$C46=$E$3</formula>
    </cfRule>
    <cfRule type="expression" dxfId="10157" priority="118">
      <formula>$C46&lt;$E$3</formula>
    </cfRule>
    <cfRule type="cellIs" dxfId="10156" priority="119" operator="equal">
      <formula>0</formula>
    </cfRule>
    <cfRule type="expression" dxfId="10155" priority="120">
      <formula>$C46&gt;$E$3</formula>
    </cfRule>
  </conditionalFormatting>
  <conditionalFormatting sqref="K46">
    <cfRule type="expression" dxfId="10154" priority="116">
      <formula>$E46=""</formula>
    </cfRule>
  </conditionalFormatting>
  <conditionalFormatting sqref="K46">
    <cfRule type="expression" dxfId="10153" priority="115">
      <formula>$C46&lt;$E$3</formula>
    </cfRule>
  </conditionalFormatting>
  <conditionalFormatting sqref="K46">
    <cfRule type="expression" dxfId="10152" priority="114">
      <formula>$E46=""</formula>
    </cfRule>
  </conditionalFormatting>
  <conditionalFormatting sqref="K46">
    <cfRule type="expression" dxfId="10151" priority="113">
      <formula>$E46=""</formula>
    </cfRule>
  </conditionalFormatting>
  <conditionalFormatting sqref="K46">
    <cfRule type="expression" dxfId="10150" priority="112">
      <formula>$C46&lt;$E$3</formula>
    </cfRule>
  </conditionalFormatting>
  <conditionalFormatting sqref="K46">
    <cfRule type="expression" dxfId="10149" priority="111">
      <formula>$E46=""</formula>
    </cfRule>
  </conditionalFormatting>
  <conditionalFormatting sqref="K46">
    <cfRule type="expression" dxfId="10148" priority="110">
      <formula>$C46&lt;$E$3</formula>
    </cfRule>
  </conditionalFormatting>
  <conditionalFormatting sqref="K46">
    <cfRule type="expression" dxfId="10147" priority="109">
      <formula>$E46=""</formula>
    </cfRule>
  </conditionalFormatting>
  <conditionalFormatting sqref="K46">
    <cfRule type="expression" dxfId="10146" priority="107">
      <formula>$E46=""</formula>
    </cfRule>
  </conditionalFormatting>
  <conditionalFormatting sqref="K46">
    <cfRule type="expression" dxfId="10145" priority="102">
      <formula>$C46=$E$3</formula>
    </cfRule>
    <cfRule type="expression" dxfId="10144" priority="103">
      <formula>$C46&lt;$E$3</formula>
    </cfRule>
    <cfRule type="cellIs" dxfId="10143" priority="104" operator="equal">
      <formula>0</formula>
    </cfRule>
    <cfRule type="expression" dxfId="10142" priority="105">
      <formula>$C46&gt;$E$3</formula>
    </cfRule>
  </conditionalFormatting>
  <conditionalFormatting sqref="K46">
    <cfRule type="expression" dxfId="10141" priority="101">
      <formula>$C46&lt;$E$3</formula>
    </cfRule>
  </conditionalFormatting>
  <conditionalFormatting sqref="K46">
    <cfRule type="expression" dxfId="10140" priority="97">
      <formula>$C46=$E$3</formula>
    </cfRule>
    <cfRule type="expression" dxfId="10139" priority="98">
      <formula>$C46&lt;$E$3</formula>
    </cfRule>
    <cfRule type="cellIs" dxfId="10138" priority="99" operator="equal">
      <formula>0</formula>
    </cfRule>
    <cfRule type="expression" dxfId="10137" priority="100">
      <formula>$C46&gt;$E$3</formula>
    </cfRule>
  </conditionalFormatting>
  <conditionalFormatting sqref="K46">
    <cfRule type="expression" dxfId="10136" priority="96">
      <formula>$C46&lt;$E$3</formula>
    </cfRule>
  </conditionalFormatting>
  <conditionalFormatting sqref="K46">
    <cfRule type="expression" dxfId="10135" priority="92">
      <formula>$C46=$E$3</formula>
    </cfRule>
    <cfRule type="expression" dxfId="10134" priority="93">
      <formula>$C46&lt;$E$3</formula>
    </cfRule>
    <cfRule type="cellIs" dxfId="10133" priority="94" operator="equal">
      <formula>0</formula>
    </cfRule>
    <cfRule type="expression" dxfId="10132" priority="95">
      <formula>$C46&gt;$E$3</formula>
    </cfRule>
  </conditionalFormatting>
  <conditionalFormatting sqref="K46">
    <cfRule type="expression" dxfId="10131" priority="91">
      <formula>$C46&lt;$E$3</formula>
    </cfRule>
  </conditionalFormatting>
  <conditionalFormatting sqref="K46">
    <cfRule type="expression" dxfId="10130" priority="87">
      <formula>$C46=$E$3</formula>
    </cfRule>
    <cfRule type="expression" dxfId="10129" priority="88">
      <formula>$C46&lt;$E$3</formula>
    </cfRule>
    <cfRule type="cellIs" dxfId="10128" priority="89" operator="equal">
      <formula>0</formula>
    </cfRule>
    <cfRule type="expression" dxfId="10127" priority="90">
      <formula>$C46&gt;$E$3</formula>
    </cfRule>
  </conditionalFormatting>
  <conditionalFormatting sqref="K46">
    <cfRule type="expression" dxfId="10126" priority="86">
      <formula>$E46=""</formula>
    </cfRule>
  </conditionalFormatting>
  <conditionalFormatting sqref="K46">
    <cfRule type="expression" dxfId="10125" priority="85">
      <formula>$C46&lt;$E$3</formula>
    </cfRule>
  </conditionalFormatting>
  <conditionalFormatting sqref="K46">
    <cfRule type="expression" dxfId="10124" priority="84">
      <formula>$E46=""</formula>
    </cfRule>
  </conditionalFormatting>
  <conditionalFormatting sqref="K46">
    <cfRule type="expression" dxfId="10123" priority="83">
      <formula>$E46=""</formula>
    </cfRule>
  </conditionalFormatting>
  <conditionalFormatting sqref="K46">
    <cfRule type="expression" dxfId="10122" priority="82">
      <formula>$C46&lt;$E$3</formula>
    </cfRule>
  </conditionalFormatting>
  <conditionalFormatting sqref="K46">
    <cfRule type="expression" dxfId="10121" priority="81">
      <formula>$E46=""</formula>
    </cfRule>
  </conditionalFormatting>
  <conditionalFormatting sqref="K46">
    <cfRule type="expression" dxfId="10120" priority="80">
      <formula>$C46&lt;$E$3</formula>
    </cfRule>
  </conditionalFormatting>
  <conditionalFormatting sqref="K46">
    <cfRule type="expression" dxfId="10119" priority="79">
      <formula>$E46=""</formula>
    </cfRule>
  </conditionalFormatting>
  <conditionalFormatting sqref="K46">
    <cfRule type="expression" dxfId="10118" priority="77">
      <formula>$E46=""</formula>
    </cfRule>
  </conditionalFormatting>
  <conditionalFormatting sqref="K41:K45">
    <cfRule type="expression" dxfId="10117" priority="72">
      <formula>$C41=$E$3</formula>
    </cfRule>
    <cfRule type="expression" dxfId="10116" priority="73">
      <formula>$C41&lt;$E$3</formula>
    </cfRule>
    <cfRule type="cellIs" dxfId="10115" priority="74" operator="equal">
      <formula>0</formula>
    </cfRule>
    <cfRule type="expression" dxfId="10114" priority="75">
      <formula>$C41&gt;$E$3</formula>
    </cfRule>
  </conditionalFormatting>
  <conditionalFormatting sqref="K41:K45">
    <cfRule type="expression" dxfId="10113" priority="71">
      <formula>$C41&lt;$E$3</formula>
    </cfRule>
  </conditionalFormatting>
  <conditionalFormatting sqref="K41:K45">
    <cfRule type="expression" dxfId="10112" priority="67">
      <formula>$C41=$E$3</formula>
    </cfRule>
    <cfRule type="expression" dxfId="10111" priority="68">
      <formula>$C41&lt;$E$3</formula>
    </cfRule>
    <cfRule type="cellIs" dxfId="10110" priority="69" operator="equal">
      <formula>0</formula>
    </cfRule>
    <cfRule type="expression" dxfId="10109" priority="70">
      <formula>$C41&gt;$E$3</formula>
    </cfRule>
  </conditionalFormatting>
  <conditionalFormatting sqref="K41:K45">
    <cfRule type="expression" dxfId="10108" priority="66">
      <formula>$C41&lt;$E$3</formula>
    </cfRule>
  </conditionalFormatting>
  <conditionalFormatting sqref="K41:K45">
    <cfRule type="expression" dxfId="10107" priority="62">
      <formula>$C41=$E$3</formula>
    </cfRule>
    <cfRule type="expression" dxfId="10106" priority="63">
      <formula>$C41&lt;$E$3</formula>
    </cfRule>
    <cfRule type="cellIs" dxfId="10105" priority="64" operator="equal">
      <formula>0</formula>
    </cfRule>
    <cfRule type="expression" dxfId="10104" priority="65">
      <formula>$C41&gt;$E$3</formula>
    </cfRule>
  </conditionalFormatting>
  <conditionalFormatting sqref="K41:K45">
    <cfRule type="expression" dxfId="10103" priority="61">
      <formula>$C41&lt;$E$3</formula>
    </cfRule>
  </conditionalFormatting>
  <conditionalFormatting sqref="K41:K45">
    <cfRule type="expression" dxfId="10102" priority="57">
      <formula>$C41=$E$3</formula>
    </cfRule>
    <cfRule type="expression" dxfId="10101" priority="58">
      <formula>$C41&lt;$E$3</formula>
    </cfRule>
    <cfRule type="cellIs" dxfId="10100" priority="59" operator="equal">
      <formula>0</formula>
    </cfRule>
    <cfRule type="expression" dxfId="10099" priority="60">
      <formula>$C41&gt;$E$3</formula>
    </cfRule>
  </conditionalFormatting>
  <conditionalFormatting sqref="K41:K45">
    <cfRule type="expression" dxfId="10098" priority="56">
      <formula>$E41=""</formula>
    </cfRule>
  </conditionalFormatting>
  <conditionalFormatting sqref="K41:K45">
    <cfRule type="expression" dxfId="10097" priority="55">
      <formula>$C41&lt;$E$3</formula>
    </cfRule>
  </conditionalFormatting>
  <conditionalFormatting sqref="K41:K45">
    <cfRule type="expression" dxfId="10096" priority="54">
      <formula>$E41=""</formula>
    </cfRule>
  </conditionalFormatting>
  <conditionalFormatting sqref="K41:K45">
    <cfRule type="expression" dxfId="10095" priority="53">
      <formula>$E41=""</formula>
    </cfRule>
  </conditionalFormatting>
  <conditionalFormatting sqref="K41:K45">
    <cfRule type="expression" dxfId="10094" priority="52">
      <formula>$C41&lt;$E$3</formula>
    </cfRule>
  </conditionalFormatting>
  <conditionalFormatting sqref="K41:K45">
    <cfRule type="expression" dxfId="10093" priority="51">
      <formula>$E41=""</formula>
    </cfRule>
  </conditionalFormatting>
  <conditionalFormatting sqref="K41:K45">
    <cfRule type="expression" dxfId="10092" priority="50">
      <formula>$C41&lt;$E$3</formula>
    </cfRule>
  </conditionalFormatting>
  <conditionalFormatting sqref="K41:K45">
    <cfRule type="expression" dxfId="10091" priority="49">
      <formula>$E41=""</formula>
    </cfRule>
  </conditionalFormatting>
  <conditionalFormatting sqref="K41:K45">
    <cfRule type="expression" dxfId="10090" priority="47">
      <formula>$E41=""</formula>
    </cfRule>
  </conditionalFormatting>
  <conditionalFormatting sqref="K41:K45">
    <cfRule type="expression" dxfId="10089" priority="42">
      <formula>$C41=$E$3</formula>
    </cfRule>
    <cfRule type="expression" dxfId="10088" priority="43">
      <formula>$C41&lt;$E$3</formula>
    </cfRule>
    <cfRule type="cellIs" dxfId="10087" priority="44" operator="equal">
      <formula>0</formula>
    </cfRule>
    <cfRule type="expression" dxfId="10086" priority="45">
      <formula>$C41&gt;$E$3</formula>
    </cfRule>
  </conditionalFormatting>
  <conditionalFormatting sqref="K41:K45">
    <cfRule type="expression" dxfId="10085" priority="41">
      <formula>$C41&lt;$E$3</formula>
    </cfRule>
  </conditionalFormatting>
  <conditionalFormatting sqref="K41:K45">
    <cfRule type="expression" dxfId="10084" priority="37">
      <formula>$C41=$E$3</formula>
    </cfRule>
    <cfRule type="expression" dxfId="10083" priority="38">
      <formula>$C41&lt;$E$3</formula>
    </cfRule>
    <cfRule type="cellIs" dxfId="10082" priority="39" operator="equal">
      <formula>0</formula>
    </cfRule>
    <cfRule type="expression" dxfId="10081" priority="40">
      <formula>$C41&gt;$E$3</formula>
    </cfRule>
  </conditionalFormatting>
  <conditionalFormatting sqref="K41:K45">
    <cfRule type="expression" dxfId="10080" priority="36">
      <formula>$C41&lt;$E$3</formula>
    </cfRule>
  </conditionalFormatting>
  <conditionalFormatting sqref="K41:K45">
    <cfRule type="expression" dxfId="10079" priority="32">
      <formula>$C41=$E$3</formula>
    </cfRule>
    <cfRule type="expression" dxfId="10078" priority="33">
      <formula>$C41&lt;$E$3</formula>
    </cfRule>
    <cfRule type="cellIs" dxfId="10077" priority="34" operator="equal">
      <formula>0</formula>
    </cfRule>
    <cfRule type="expression" dxfId="10076" priority="35">
      <formula>$C41&gt;$E$3</formula>
    </cfRule>
  </conditionalFormatting>
  <conditionalFormatting sqref="K41:K45">
    <cfRule type="expression" dxfId="10075" priority="31">
      <formula>$C41&lt;$E$3</formula>
    </cfRule>
  </conditionalFormatting>
  <conditionalFormatting sqref="K41:K45">
    <cfRule type="expression" dxfId="10074" priority="27">
      <formula>$C41=$E$3</formula>
    </cfRule>
    <cfRule type="expression" dxfId="10073" priority="28">
      <formula>$C41&lt;$E$3</formula>
    </cfRule>
    <cfRule type="cellIs" dxfId="10072" priority="29" operator="equal">
      <formula>0</formula>
    </cfRule>
    <cfRule type="expression" dxfId="10071" priority="30">
      <formula>$C41&gt;$E$3</formula>
    </cfRule>
  </conditionalFormatting>
  <conditionalFormatting sqref="K41:K45">
    <cfRule type="expression" dxfId="10070" priority="26">
      <formula>$E41=""</formula>
    </cfRule>
  </conditionalFormatting>
  <conditionalFormatting sqref="K41:K45">
    <cfRule type="expression" dxfId="10069" priority="25">
      <formula>$C41&lt;$E$3</formula>
    </cfRule>
  </conditionalFormatting>
  <conditionalFormatting sqref="K41:K45">
    <cfRule type="expression" dxfId="10068" priority="24">
      <formula>$E41=""</formula>
    </cfRule>
  </conditionalFormatting>
  <conditionalFormatting sqref="K41:K45">
    <cfRule type="expression" dxfId="10067" priority="23">
      <formula>$E41=""</formula>
    </cfRule>
  </conditionalFormatting>
  <conditionalFormatting sqref="K41:K45">
    <cfRule type="expression" dxfId="10066" priority="22">
      <formula>$C41&lt;$E$3</formula>
    </cfRule>
  </conditionalFormatting>
  <conditionalFormatting sqref="K41:K45">
    <cfRule type="expression" dxfId="10065" priority="21">
      <formula>$E41=""</formula>
    </cfRule>
  </conditionalFormatting>
  <conditionalFormatting sqref="K41:K45">
    <cfRule type="expression" dxfId="10064" priority="20">
      <formula>$C41&lt;$E$3</formula>
    </cfRule>
  </conditionalFormatting>
  <conditionalFormatting sqref="K41:K45">
    <cfRule type="expression" dxfId="10063" priority="19">
      <formula>$E41=""</formula>
    </cfRule>
  </conditionalFormatting>
  <conditionalFormatting sqref="K41:K45">
    <cfRule type="expression" dxfId="10062" priority="17">
      <formula>$E41=""</formula>
    </cfRule>
  </conditionalFormatting>
  <conditionalFormatting sqref="K41:K47">
    <cfRule type="expression" dxfId="10061" priority="15">
      <formula>$C41&lt;$E$3</formula>
    </cfRule>
  </conditionalFormatting>
  <conditionalFormatting sqref="K41:K47">
    <cfRule type="expression" dxfId="10060" priority="12">
      <formula>$C41=$E$3</formula>
    </cfRule>
    <cfRule type="expression" dxfId="10059" priority="13">
      <formula>$C41&lt;$E$3</formula>
    </cfRule>
    <cfRule type="cellIs" dxfId="10058" priority="14" operator="equal">
      <formula>0</formula>
    </cfRule>
    <cfRule type="expression" dxfId="10057" priority="16">
      <formula>$C41&gt;$E$3</formula>
    </cfRule>
  </conditionalFormatting>
  <conditionalFormatting sqref="K41:K47">
    <cfRule type="expression" dxfId="10056" priority="11">
      <formula>$E41=""</formula>
    </cfRule>
  </conditionalFormatting>
  <conditionalFormatting sqref="K41:K47">
    <cfRule type="expression" dxfId="10055" priority="10">
      <formula>$E41=""</formula>
    </cfRule>
  </conditionalFormatting>
  <conditionalFormatting sqref="K41:K47">
    <cfRule type="expression" dxfId="10054" priority="9">
      <formula>$E41=""</formula>
    </cfRule>
  </conditionalFormatting>
  <conditionalFormatting sqref="N20 N18 N16">
    <cfRule type="cellIs" dxfId="10053" priority="8" stopIfTrue="1" operator="lessThan">
      <formula>0</formula>
    </cfRule>
  </conditionalFormatting>
  <conditionalFormatting sqref="N23 N27:N28">
    <cfRule type="cellIs" dxfId="10052" priority="7" stopIfTrue="1" operator="lessThan">
      <formula>0</formula>
    </cfRule>
  </conditionalFormatting>
  <conditionalFormatting sqref="N32:N34 N36 N38">
    <cfRule type="cellIs" dxfId="10051" priority="6" stopIfTrue="1" operator="lessThan">
      <formula>0</formula>
    </cfRule>
  </conditionalFormatting>
  <conditionalFormatting sqref="N41:N47">
    <cfRule type="cellIs" dxfId="10050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AI69"/>
  <sheetViews>
    <sheetView workbookViewId="0">
      <selection activeCell="H10" sqref="H10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7.6640625" customWidth="1"/>
    <col min="11" max="11" width="8.1640625" hidden="1" customWidth="1"/>
    <col min="12" max="12" width="8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1" width="10.33203125" bestFit="1" customWidth="1"/>
    <col min="33" max="33" width="10.6640625" bestFit="1" customWidth="1"/>
  </cols>
  <sheetData>
    <row r="1" spans="1:35" ht="53.25" customHeight="1" thickBot="1">
      <c r="A1" s="42">
        <v>6</v>
      </c>
      <c r="B1" s="40" t="s">
        <v>0</v>
      </c>
      <c r="C1" s="41"/>
      <c r="D1" s="41"/>
      <c r="E1" s="193" t="str">
        <f>VLOOKUP(A1,'MY STATS'!$B$32:$E$43,4)</f>
        <v>Jun.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168" t="s">
        <v>25</v>
      </c>
      <c r="P1" s="170" t="s">
        <v>26</v>
      </c>
      <c r="Q1" s="170" t="s">
        <v>26</v>
      </c>
      <c r="R1" s="181" t="s">
        <v>32</v>
      </c>
      <c r="S1" s="194" t="s">
        <v>115</v>
      </c>
      <c r="T1" s="181"/>
      <c r="U1" s="181"/>
      <c r="V1" s="181" t="s">
        <v>84</v>
      </c>
      <c r="W1" s="181" t="s">
        <v>85</v>
      </c>
      <c r="X1" s="170" t="s">
        <v>24</v>
      </c>
      <c r="Y1" s="170" t="s">
        <v>21</v>
      </c>
      <c r="Z1" s="170" t="s">
        <v>22</v>
      </c>
      <c r="AA1" s="182" t="s">
        <v>23</v>
      </c>
      <c r="AB1" s="79"/>
      <c r="AC1" s="76"/>
      <c r="AD1" s="76"/>
      <c r="AE1" s="76"/>
      <c r="AF1" s="76"/>
      <c r="AG1" s="76"/>
      <c r="AH1" s="76"/>
      <c r="AI1" s="76"/>
    </row>
    <row r="2" spans="1:35" ht="35" hidden="1" thickTop="1">
      <c r="A2" s="54" t="s">
        <v>64</v>
      </c>
      <c r="B2" s="21">
        <f>VLOOKUP(A1,'MY STATS'!$B$32:$G$43,3)</f>
        <v>45444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183"/>
      <c r="P2" s="79"/>
      <c r="Q2" s="79"/>
      <c r="R2" s="184">
        <f>'MY STATS'!A16</f>
        <v>3</v>
      </c>
      <c r="S2" s="184"/>
      <c r="T2" s="184"/>
      <c r="U2" s="184"/>
      <c r="V2" s="184"/>
      <c r="W2" s="184"/>
      <c r="X2" s="79"/>
      <c r="Y2" s="79"/>
      <c r="Z2" s="95"/>
      <c r="AA2" s="95"/>
      <c r="AB2" s="79"/>
      <c r="AC2" s="76"/>
      <c r="AD2" s="76"/>
      <c r="AE2" s="76"/>
      <c r="AF2" s="76"/>
      <c r="AG2" s="76"/>
      <c r="AH2" s="76"/>
      <c r="AI2" s="76"/>
    </row>
    <row r="3" spans="1:35" ht="17" hidden="1" thickBot="1">
      <c r="A3" s="75">
        <f>'MY STATS'!D44</f>
        <v>45658</v>
      </c>
      <c r="B3" s="21">
        <f>VLOOKUP(A1+1,'MY STATS'!$B$32:$G$44,3)-1</f>
        <v>45473</v>
      </c>
      <c r="C3" s="21">
        <f>VLOOKUP(A1,'MY STATS'!$B$32:$G$43,2)</f>
        <v>45439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183"/>
      <c r="P3" s="79"/>
      <c r="Q3" s="79"/>
      <c r="R3" s="184"/>
      <c r="S3" s="184"/>
      <c r="T3" s="184"/>
      <c r="U3" s="184"/>
      <c r="V3" s="184"/>
      <c r="W3" s="184"/>
      <c r="X3" s="79"/>
      <c r="Y3" s="79"/>
      <c r="Z3" s="95"/>
      <c r="AA3" s="95"/>
      <c r="AB3" s="79"/>
      <c r="AC3" s="76"/>
      <c r="AD3" s="76"/>
      <c r="AE3" s="76"/>
      <c r="AF3" s="76"/>
      <c r="AG3" s="76"/>
      <c r="AH3" s="76"/>
      <c r="AI3" s="76"/>
    </row>
    <row r="4" spans="1:35" ht="1" customHeight="1" thickTop="1" thickBot="1">
      <c r="A4"/>
      <c r="C4" s="28">
        <f>C3-1</f>
        <v>45438</v>
      </c>
      <c r="D4"/>
      <c r="O4" s="185"/>
      <c r="P4" s="172">
        <f t="shared" ref="P4:P11" si="0">H$56</f>
        <v>57530.552518762066</v>
      </c>
      <c r="Q4" s="128">
        <f>IF(R$2=3,P4,IF(R$2=2,P4*1.0936,IF(R$2=1,P4*0.000568181818*1.0936133,"")))</f>
        <v>57530.552518762066</v>
      </c>
      <c r="R4" s="169"/>
      <c r="S4" s="169"/>
      <c r="T4" s="169"/>
      <c r="U4" s="169"/>
      <c r="V4" s="169"/>
      <c r="W4" s="169"/>
      <c r="X4" s="172"/>
      <c r="Y4" s="172"/>
      <c r="Z4" s="171">
        <v>0</v>
      </c>
      <c r="AA4" s="95"/>
      <c r="AB4" s="79">
        <v>0</v>
      </c>
      <c r="AC4" s="76"/>
      <c r="AD4" s="76"/>
      <c r="AE4" s="76"/>
      <c r="AF4" s="76"/>
      <c r="AG4" s="76"/>
      <c r="AH4" s="76"/>
      <c r="AI4" s="76"/>
    </row>
    <row r="5" spans="1:35">
      <c r="A5" s="22"/>
      <c r="B5" s="19">
        <f>IF(B$2&gt;C5,0,C5)</f>
        <v>0</v>
      </c>
      <c r="C5" s="28">
        <f>C3</f>
        <v>45439</v>
      </c>
      <c r="D5" s="20">
        <f t="shared" ref="D5:D51" ca="1" si="1">TODAY()-C5</f>
        <v>-148</v>
      </c>
      <c r="E5" s="91" t="str">
        <f>IF(B5=0,"","Monday")</f>
        <v/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71" t="str">
        <f t="shared" ref="O5:O51" si="3">IF(B5=0,"",(F$3-G$3)/(A$3-B$2)+0.1)</f>
        <v/>
      </c>
      <c r="P5" s="172">
        <f t="shared" si="0"/>
        <v>57530.552518762066</v>
      </c>
      <c r="Q5" s="128">
        <f t="shared" ref="Q5:Q51" si="4">IF(R$2=3,P5,IF(R$2=2,P5*1.0936,IF(R$2=1,P5*0.000568181818*1.0936133,"")))</f>
        <v>57530.552518762066</v>
      </c>
      <c r="R5" s="128">
        <f>IF(R$2=3,H5+G5/1.0936133+F5/0.0006213712,IF(R$2=2,H5*1.0936133+G5+F5/0.0005681818,IF(R$2=1,H5*0.0005681818*1.0936133+G5*0.0005681818+F5,"")))</f>
        <v>0</v>
      </c>
      <c r="S5" s="195" t="str">
        <f>IF(R5=0,"",R5*IF(L5&gt;0,1,0))</f>
        <v/>
      </c>
      <c r="T5" s="128"/>
      <c r="U5" s="128"/>
      <c r="V5" s="129" t="str">
        <f t="shared" ref="V5:V11" si="5">IF(L5="","",IF(R5=0,"",IF(B5=0,"",IF($R$2=3,R5/L5*60/1000,IF($R$2=2,R5/L5*60/1760,IF($R$2=1,R5/L5*60,""))))))</f>
        <v/>
      </c>
      <c r="W5" s="129" t="str">
        <f t="shared" ref="W5:W11" si="6">IF(R5=0,"",IF(L5="","",V5*L5))</f>
        <v/>
      </c>
      <c r="X5" s="171">
        <f t="shared" ref="X5:Z11" si="7">F5+X4</f>
        <v>0</v>
      </c>
      <c r="Y5" s="171">
        <f t="shared" si="7"/>
        <v>0</v>
      </c>
      <c r="Z5" s="171">
        <f t="shared" si="7"/>
        <v>0</v>
      </c>
      <c r="AA5" s="186">
        <f t="shared" ref="AA5:AA51" si="8">Z5/1000+Y5/1093.6133+X5/0.621371192</f>
        <v>0</v>
      </c>
      <c r="AB5" s="187">
        <f>R5</f>
        <v>0</v>
      </c>
      <c r="AC5" s="76"/>
      <c r="AD5" s="76"/>
      <c r="AE5" s="76"/>
      <c r="AF5" s="76"/>
      <c r="AG5" s="76"/>
      <c r="AH5" s="76"/>
      <c r="AI5" s="76"/>
    </row>
    <row r="6" spans="1:35">
      <c r="A6" s="23"/>
      <c r="B6" s="4">
        <f t="shared" ref="B6:B11" si="9">IF(B$2&gt;C6,0,C6)</f>
        <v>0</v>
      </c>
      <c r="C6" s="29">
        <f>C3+1</f>
        <v>45440</v>
      </c>
      <c r="D6" s="6">
        <f t="shared" ca="1" si="1"/>
        <v>-149</v>
      </c>
      <c r="E6" s="90" t="str">
        <f>IF(B6=0,"","Tuesday")</f>
        <v/>
      </c>
      <c r="F6" s="45"/>
      <c r="G6" s="46"/>
      <c r="H6" s="46"/>
      <c r="I6" s="151"/>
      <c r="J6" s="46"/>
      <c r="K6" s="152" t="str">
        <f t="shared" ref="K6:K11" si="10">IF(R6=0,"",IF(L6="","",J6))</f>
        <v/>
      </c>
      <c r="L6" s="46"/>
      <c r="M6" s="46" t="str">
        <f t="shared" si="2"/>
        <v/>
      </c>
      <c r="N6" s="301"/>
      <c r="O6" s="171" t="str">
        <f t="shared" si="3"/>
        <v/>
      </c>
      <c r="P6" s="172">
        <f t="shared" si="0"/>
        <v>57530.552518762066</v>
      </c>
      <c r="Q6" s="128">
        <f t="shared" si="4"/>
        <v>57530.552518762066</v>
      </c>
      <c r="R6" s="128">
        <f t="shared" ref="R6:R11" si="11">IF(R$2=3,H6+G6/1.0936133+F6/0.0006213712,IF(R$2=2,H6*1.0936133+G6+F6/0.0005681818,IF(R$2=1,H6*0.0005681818*1.0936133+G6*0.0005681818+F6,"")))</f>
        <v>0</v>
      </c>
      <c r="S6" s="195" t="str">
        <f t="shared" ref="S6:S51" si="12">IF(R6=0,"",R6*IF(L6&gt;0,1,0))</f>
        <v/>
      </c>
      <c r="T6" s="128"/>
      <c r="U6" s="128"/>
      <c r="V6" s="129" t="str">
        <f t="shared" si="5"/>
        <v/>
      </c>
      <c r="W6" s="129" t="str">
        <f t="shared" si="6"/>
        <v/>
      </c>
      <c r="X6" s="171">
        <f t="shared" si="7"/>
        <v>0</v>
      </c>
      <c r="Y6" s="171">
        <f t="shared" si="7"/>
        <v>0</v>
      </c>
      <c r="Z6" s="171">
        <f t="shared" si="7"/>
        <v>0</v>
      </c>
      <c r="AA6" s="186">
        <f t="shared" si="8"/>
        <v>0</v>
      </c>
      <c r="AB6" s="173">
        <f t="shared" ref="AB6:AB51" si="13">AB5+R6</f>
        <v>0</v>
      </c>
      <c r="AC6" s="76"/>
      <c r="AD6" s="76"/>
      <c r="AE6" s="76"/>
      <c r="AF6" s="76"/>
      <c r="AG6" s="76"/>
      <c r="AH6" s="76"/>
      <c r="AI6" s="76"/>
    </row>
    <row r="7" spans="1:35">
      <c r="A7" s="23"/>
      <c r="B7" s="4">
        <f t="shared" si="9"/>
        <v>0</v>
      </c>
      <c r="C7" s="29">
        <f>C3+2</f>
        <v>45441</v>
      </c>
      <c r="D7" s="6">
        <f t="shared" ca="1" si="1"/>
        <v>-150</v>
      </c>
      <c r="E7" s="90" t="str">
        <f>IF(B7=0,"","Wednesday")</f>
        <v/>
      </c>
      <c r="F7" s="45"/>
      <c r="G7" s="46"/>
      <c r="H7" s="46"/>
      <c r="I7" s="151"/>
      <c r="J7" s="46"/>
      <c r="K7" s="152" t="str">
        <f t="shared" si="10"/>
        <v/>
      </c>
      <c r="L7" s="46"/>
      <c r="M7" s="46" t="str">
        <f t="shared" si="2"/>
        <v/>
      </c>
      <c r="N7" s="310"/>
      <c r="O7" s="171" t="str">
        <f t="shared" si="3"/>
        <v/>
      </c>
      <c r="P7" s="172">
        <f t="shared" si="0"/>
        <v>57530.552518762066</v>
      </c>
      <c r="Q7" s="128">
        <f t="shared" si="4"/>
        <v>57530.552518762066</v>
      </c>
      <c r="R7" s="128">
        <f t="shared" si="11"/>
        <v>0</v>
      </c>
      <c r="S7" s="195" t="str">
        <f t="shared" si="12"/>
        <v/>
      </c>
      <c r="T7" s="128"/>
      <c r="U7" s="128"/>
      <c r="V7" s="129" t="str">
        <f t="shared" si="5"/>
        <v/>
      </c>
      <c r="W7" s="129" t="str">
        <f t="shared" si="6"/>
        <v/>
      </c>
      <c r="X7" s="171">
        <f t="shared" si="7"/>
        <v>0</v>
      </c>
      <c r="Y7" s="171">
        <f t="shared" si="7"/>
        <v>0</v>
      </c>
      <c r="Z7" s="171">
        <f t="shared" si="7"/>
        <v>0</v>
      </c>
      <c r="AA7" s="186">
        <f t="shared" si="8"/>
        <v>0</v>
      </c>
      <c r="AB7" s="173">
        <f t="shared" si="13"/>
        <v>0</v>
      </c>
      <c r="AC7" s="76"/>
      <c r="AD7" s="76"/>
      <c r="AE7" s="76"/>
      <c r="AF7" s="76"/>
      <c r="AG7" s="76"/>
      <c r="AH7" s="76"/>
      <c r="AI7" s="76"/>
    </row>
    <row r="8" spans="1:35">
      <c r="A8" s="23"/>
      <c r="B8" s="4">
        <f t="shared" si="9"/>
        <v>0</v>
      </c>
      <c r="C8" s="29">
        <f>C3+3</f>
        <v>45442</v>
      </c>
      <c r="D8" s="6">
        <f t="shared" ca="1" si="1"/>
        <v>-151</v>
      </c>
      <c r="E8" s="90" t="str">
        <f>IF(B8=0,"","Thursday")</f>
        <v/>
      </c>
      <c r="F8" s="45"/>
      <c r="G8" s="46"/>
      <c r="H8" s="46"/>
      <c r="I8" s="151"/>
      <c r="J8" s="46"/>
      <c r="K8" s="152" t="str">
        <f t="shared" si="10"/>
        <v/>
      </c>
      <c r="L8" s="46"/>
      <c r="M8" s="46" t="str">
        <f t="shared" si="2"/>
        <v/>
      </c>
      <c r="N8" s="310"/>
      <c r="O8" s="171" t="str">
        <f t="shared" si="3"/>
        <v/>
      </c>
      <c r="P8" s="172">
        <f t="shared" si="0"/>
        <v>57530.552518762066</v>
      </c>
      <c r="Q8" s="128">
        <f t="shared" si="4"/>
        <v>57530.552518762066</v>
      </c>
      <c r="R8" s="128">
        <f t="shared" si="11"/>
        <v>0</v>
      </c>
      <c r="S8" s="195" t="str">
        <f t="shared" si="12"/>
        <v/>
      </c>
      <c r="T8" s="128"/>
      <c r="U8" s="128"/>
      <c r="V8" s="129" t="str">
        <f t="shared" si="5"/>
        <v/>
      </c>
      <c r="W8" s="129" t="str">
        <f t="shared" si="6"/>
        <v/>
      </c>
      <c r="X8" s="171">
        <f t="shared" si="7"/>
        <v>0</v>
      </c>
      <c r="Y8" s="171">
        <f t="shared" si="7"/>
        <v>0</v>
      </c>
      <c r="Z8" s="171">
        <f t="shared" si="7"/>
        <v>0</v>
      </c>
      <c r="AA8" s="186">
        <f t="shared" si="8"/>
        <v>0</v>
      </c>
      <c r="AB8" s="173">
        <f t="shared" si="13"/>
        <v>0</v>
      </c>
      <c r="AC8" s="76"/>
      <c r="AD8" s="76"/>
      <c r="AE8" s="76"/>
      <c r="AF8" s="76"/>
      <c r="AG8" s="76"/>
      <c r="AH8" s="76"/>
      <c r="AI8" s="76"/>
    </row>
    <row r="9" spans="1:35">
      <c r="A9" s="23"/>
      <c r="B9" s="4">
        <f t="shared" si="9"/>
        <v>0</v>
      </c>
      <c r="C9" s="29">
        <f>C3+4</f>
        <v>45443</v>
      </c>
      <c r="D9" s="6">
        <f t="shared" ca="1" si="1"/>
        <v>-152</v>
      </c>
      <c r="E9" s="90" t="str">
        <f>IF(B9=0,"","Friday")</f>
        <v/>
      </c>
      <c r="F9" s="45"/>
      <c r="G9" s="46"/>
      <c r="H9" s="46"/>
      <c r="I9" s="151"/>
      <c r="J9" s="46"/>
      <c r="K9" s="152" t="str">
        <f t="shared" si="10"/>
        <v/>
      </c>
      <c r="L9" s="46"/>
      <c r="M9" s="46" t="str">
        <f t="shared" si="2"/>
        <v/>
      </c>
      <c r="N9" s="301"/>
      <c r="O9" s="171" t="str">
        <f t="shared" si="3"/>
        <v/>
      </c>
      <c r="P9" s="172">
        <f t="shared" si="0"/>
        <v>57530.552518762066</v>
      </c>
      <c r="Q9" s="128">
        <f t="shared" si="4"/>
        <v>57530.552518762066</v>
      </c>
      <c r="R9" s="128">
        <f t="shared" si="11"/>
        <v>0</v>
      </c>
      <c r="S9" s="195" t="str">
        <f t="shared" si="12"/>
        <v/>
      </c>
      <c r="T9" s="128"/>
      <c r="U9" s="128"/>
      <c r="V9" s="129" t="str">
        <f t="shared" si="5"/>
        <v/>
      </c>
      <c r="W9" s="129" t="str">
        <f t="shared" si="6"/>
        <v/>
      </c>
      <c r="X9" s="171">
        <f t="shared" si="7"/>
        <v>0</v>
      </c>
      <c r="Y9" s="171">
        <f t="shared" si="7"/>
        <v>0</v>
      </c>
      <c r="Z9" s="171">
        <f t="shared" si="7"/>
        <v>0</v>
      </c>
      <c r="AA9" s="186">
        <f t="shared" si="8"/>
        <v>0</v>
      </c>
      <c r="AB9" s="173">
        <f t="shared" si="13"/>
        <v>0</v>
      </c>
      <c r="AC9" s="76"/>
      <c r="AD9" s="76"/>
      <c r="AE9" s="76"/>
      <c r="AF9" s="76"/>
      <c r="AG9" s="76"/>
      <c r="AH9" s="76"/>
      <c r="AI9" s="76"/>
    </row>
    <row r="10" spans="1:35">
      <c r="A10" s="23"/>
      <c r="B10" s="4">
        <f t="shared" si="9"/>
        <v>45444</v>
      </c>
      <c r="C10" s="29">
        <f>C3+5</f>
        <v>45444</v>
      </c>
      <c r="D10" s="6">
        <f t="shared" ca="1" si="1"/>
        <v>-153</v>
      </c>
      <c r="E10" s="90" t="str">
        <f>IF(B10=0,"","Saturday")</f>
        <v>Saturday</v>
      </c>
      <c r="F10" s="45"/>
      <c r="G10" s="46"/>
      <c r="H10" s="46"/>
      <c r="I10" s="151"/>
      <c r="J10" s="46"/>
      <c r="K10" s="152" t="str">
        <f t="shared" si="10"/>
        <v/>
      </c>
      <c r="L10" s="46"/>
      <c r="M10" s="46" t="str">
        <f t="shared" si="2"/>
        <v/>
      </c>
      <c r="N10" s="310"/>
      <c r="O10" s="171">
        <f t="shared" si="3"/>
        <v>1917.7762593810312</v>
      </c>
      <c r="P10" s="172">
        <f t="shared" si="0"/>
        <v>57530.552518762066</v>
      </c>
      <c r="Q10" s="128">
        <f t="shared" si="4"/>
        <v>57530.552518762066</v>
      </c>
      <c r="R10" s="128">
        <f t="shared" si="11"/>
        <v>0</v>
      </c>
      <c r="S10" s="195" t="str">
        <f t="shared" si="12"/>
        <v/>
      </c>
      <c r="T10" s="128"/>
      <c r="U10" s="128"/>
      <c r="V10" s="129" t="str">
        <f t="shared" si="5"/>
        <v/>
      </c>
      <c r="W10" s="129" t="str">
        <f t="shared" si="6"/>
        <v/>
      </c>
      <c r="X10" s="171">
        <f t="shared" si="7"/>
        <v>0</v>
      </c>
      <c r="Y10" s="171">
        <f t="shared" si="7"/>
        <v>0</v>
      </c>
      <c r="Z10" s="171">
        <f t="shared" si="7"/>
        <v>0</v>
      </c>
      <c r="AA10" s="186">
        <f t="shared" si="8"/>
        <v>0</v>
      </c>
      <c r="AB10" s="173">
        <f t="shared" si="13"/>
        <v>0</v>
      </c>
      <c r="AC10" s="76"/>
      <c r="AD10" s="76"/>
      <c r="AE10" s="76"/>
      <c r="AF10" s="76"/>
      <c r="AG10" s="76"/>
      <c r="AH10" s="76"/>
      <c r="AI10" s="76"/>
    </row>
    <row r="11" spans="1:35" ht="17" thickBot="1">
      <c r="A11" s="23"/>
      <c r="B11" s="43">
        <f t="shared" si="9"/>
        <v>45445</v>
      </c>
      <c r="C11" s="32">
        <f>C3+6</f>
        <v>45445</v>
      </c>
      <c r="D11" s="44">
        <f t="shared" ca="1" si="1"/>
        <v>-154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0"/>
        <v/>
      </c>
      <c r="L11" s="46"/>
      <c r="M11" s="46" t="str">
        <f t="shared" si="2"/>
        <v/>
      </c>
      <c r="N11" s="310"/>
      <c r="O11" s="171">
        <f t="shared" si="3"/>
        <v>1917.7762593810312</v>
      </c>
      <c r="P11" s="172">
        <f t="shared" si="0"/>
        <v>57530.552518762066</v>
      </c>
      <c r="Q11" s="128">
        <f t="shared" si="4"/>
        <v>57530.552518762066</v>
      </c>
      <c r="R11" s="128">
        <f t="shared" si="11"/>
        <v>0</v>
      </c>
      <c r="S11" s="195" t="str">
        <f t="shared" si="12"/>
        <v/>
      </c>
      <c r="T11" s="128"/>
      <c r="U11" s="128"/>
      <c r="V11" s="129" t="str">
        <f t="shared" si="5"/>
        <v/>
      </c>
      <c r="W11" s="129" t="str">
        <f t="shared" si="6"/>
        <v/>
      </c>
      <c r="X11" s="171">
        <f t="shared" si="7"/>
        <v>0</v>
      </c>
      <c r="Y11" s="171">
        <f t="shared" si="7"/>
        <v>0</v>
      </c>
      <c r="Z11" s="171">
        <f t="shared" si="7"/>
        <v>0</v>
      </c>
      <c r="AA11" s="186">
        <f t="shared" si="8"/>
        <v>0</v>
      </c>
      <c r="AB11" s="173">
        <f t="shared" si="13"/>
        <v>0</v>
      </c>
      <c r="AC11" s="76"/>
      <c r="AD11" s="76"/>
      <c r="AE11" s="76"/>
      <c r="AF11" s="76"/>
      <c r="AG11" s="76"/>
      <c r="AH11" s="76"/>
      <c r="AI11" s="76"/>
    </row>
    <row r="12" spans="1:35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71" t="str">
        <f t="shared" si="3"/>
        <v/>
      </c>
      <c r="P12" s="172"/>
      <c r="Q12" s="128">
        <f t="shared" si="4"/>
        <v>0</v>
      </c>
      <c r="R12" s="188"/>
      <c r="S12" s="195" t="str">
        <f t="shared" si="12"/>
        <v/>
      </c>
      <c r="T12" s="188"/>
      <c r="U12" s="188"/>
      <c r="V12" s="188"/>
      <c r="W12" s="188"/>
      <c r="X12" s="172"/>
      <c r="Y12" s="172"/>
      <c r="Z12" s="95"/>
      <c r="AA12" s="186">
        <f t="shared" si="8"/>
        <v>0</v>
      </c>
      <c r="AB12" s="173">
        <f t="shared" si="13"/>
        <v>0</v>
      </c>
      <c r="AC12" s="76"/>
      <c r="AD12" s="76"/>
      <c r="AE12" s="76"/>
      <c r="AF12" s="76"/>
      <c r="AG12" s="76"/>
      <c r="AH12" s="76"/>
      <c r="AI12" s="76"/>
    </row>
    <row r="13" spans="1:35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2.3832974102467839</v>
      </c>
      <c r="G13" s="53">
        <f>H13*1.0936113</f>
        <v>4194.6035762616539</v>
      </c>
      <c r="H13" s="103">
        <f>SUM($O5:$O11)</f>
        <v>3835.5525187620624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71" t="str">
        <f t="shared" si="3"/>
        <v/>
      </c>
      <c r="P13" s="172"/>
      <c r="Q13" s="128">
        <f t="shared" si="4"/>
        <v>0</v>
      </c>
      <c r="R13" s="189"/>
      <c r="S13" s="195" t="str">
        <f t="shared" si="12"/>
        <v/>
      </c>
      <c r="T13" s="189"/>
      <c r="U13" s="189"/>
      <c r="V13" s="189"/>
      <c r="W13" s="189"/>
      <c r="X13" s="172"/>
      <c r="Y13" s="172"/>
      <c r="Z13" s="95"/>
      <c r="AA13" s="186">
        <f t="shared" si="8"/>
        <v>0</v>
      </c>
      <c r="AB13" s="173">
        <f t="shared" si="13"/>
        <v>0</v>
      </c>
      <c r="AC13" s="76"/>
      <c r="AD13" s="76"/>
      <c r="AE13" s="76"/>
      <c r="AF13" s="76"/>
      <c r="AG13" s="76"/>
      <c r="AH13" s="76"/>
      <c r="AI13" s="76"/>
    </row>
    <row r="14" spans="1:35" ht="17" thickTop="1">
      <c r="A14" s="1"/>
      <c r="B14" s="47">
        <f t="shared" ref="B14:B20" si="14">IF(B$2&gt;C14,0,C14)</f>
        <v>45446</v>
      </c>
      <c r="C14" s="31">
        <f>C11+1</f>
        <v>45446</v>
      </c>
      <c r="D14" s="18">
        <f t="shared" ca="1" si="1"/>
        <v>-155</v>
      </c>
      <c r="E14" s="94" t="s">
        <v>1</v>
      </c>
      <c r="F14" s="45"/>
      <c r="G14" s="46"/>
      <c r="H14" s="46"/>
      <c r="I14" s="109"/>
      <c r="J14" s="101"/>
      <c r="K14" s="152" t="str">
        <f t="shared" ref="K14:K20" si="15">IF(R14=0,"",IF(L14="","",J14))</f>
        <v/>
      </c>
      <c r="L14" s="101"/>
      <c r="M14" s="46" t="str">
        <f t="shared" ref="M14:M20" si="16">IF(R14=0,"",IF(J14="","",L14))</f>
        <v/>
      </c>
      <c r="N14" s="310"/>
      <c r="O14" s="171">
        <f t="shared" si="3"/>
        <v>1917.7762593810312</v>
      </c>
      <c r="P14" s="172">
        <f t="shared" ref="P14:P20" si="17">H$56</f>
        <v>57530.552518762066</v>
      </c>
      <c r="Q14" s="128">
        <f t="shared" si="4"/>
        <v>57530.552518762066</v>
      </c>
      <c r="R14" s="128">
        <f>IF(R$2=3,H14+G14/1.0936133+F14/0.0006213712,IF(R$2=2,H14*1.0936133+G14+F14/0.0005681818,IF(R$2=1,H14*0.0005681818*1.0936133+G14*0.0005681818+F14,"")))</f>
        <v>0</v>
      </c>
      <c r="S14" s="195" t="str">
        <f t="shared" si="12"/>
        <v/>
      </c>
      <c r="T14" s="128"/>
      <c r="U14" s="128"/>
      <c r="V14" s="129" t="str">
        <f t="shared" ref="V14:V20" si="18">IF(L14="","",IF(R14=0,"",IF(B14=0,"",IF($R$2=3,R14/L14*60/1000,IF($R$2=2,R14/L14*60/1760,IF($R$2=1,R14/L14*60,""))))))</f>
        <v/>
      </c>
      <c r="W14" s="129" t="str">
        <f t="shared" ref="W14:W20" si="19">IF(R14=0,"",IF(L14="","",V14*L14))</f>
        <v/>
      </c>
      <c r="X14" s="171">
        <f>F14+X11</f>
        <v>0</v>
      </c>
      <c r="Y14" s="171">
        <f>G14+Y11</f>
        <v>0</v>
      </c>
      <c r="Z14" s="171">
        <f>H14+Z11</f>
        <v>0</v>
      </c>
      <c r="AA14" s="186">
        <f t="shared" si="8"/>
        <v>0</v>
      </c>
      <c r="AB14" s="173">
        <f t="shared" si="13"/>
        <v>0</v>
      </c>
      <c r="AC14" s="76"/>
      <c r="AD14" s="76"/>
      <c r="AE14" s="76"/>
      <c r="AF14" s="76"/>
      <c r="AG14" s="76"/>
      <c r="AH14" s="76"/>
      <c r="AI14" s="76"/>
    </row>
    <row r="15" spans="1:35">
      <c r="A15" s="1"/>
      <c r="B15" s="4">
        <f t="shared" si="14"/>
        <v>45447</v>
      </c>
      <c r="C15" s="29">
        <f t="shared" ref="C15:C20" si="20">C14+1</f>
        <v>45447</v>
      </c>
      <c r="D15" s="6">
        <f t="shared" ca="1" si="1"/>
        <v>-156</v>
      </c>
      <c r="E15" s="90" t="s">
        <v>2</v>
      </c>
      <c r="F15" s="45"/>
      <c r="G15" s="46"/>
      <c r="H15" s="46"/>
      <c r="I15" s="151"/>
      <c r="J15" s="46"/>
      <c r="K15" s="152" t="str">
        <f t="shared" si="15"/>
        <v/>
      </c>
      <c r="L15" s="46"/>
      <c r="M15" s="46" t="str">
        <f t="shared" si="16"/>
        <v/>
      </c>
      <c r="N15" s="310"/>
      <c r="O15" s="171">
        <f t="shared" si="3"/>
        <v>1917.7762593810312</v>
      </c>
      <c r="P15" s="172">
        <f t="shared" si="17"/>
        <v>57530.552518762066</v>
      </c>
      <c r="Q15" s="128">
        <f t="shared" si="4"/>
        <v>57530.552518762066</v>
      </c>
      <c r="R15" s="128">
        <f t="shared" ref="R15:R20" si="21">IF(R$2=3,H15+G15/1.0936133+F15/0.0006213712,IF(R$2=2,H15*1.0936133+G15+F15/0.0005681818,IF(R$2=1,H15*0.0005681818*1.0936133+G15*0.0005681818+F15,"")))</f>
        <v>0</v>
      </c>
      <c r="S15" s="195" t="str">
        <f t="shared" si="12"/>
        <v/>
      </c>
      <c r="T15" s="128"/>
      <c r="U15" s="128"/>
      <c r="V15" s="129" t="str">
        <f t="shared" si="18"/>
        <v/>
      </c>
      <c r="W15" s="129" t="str">
        <f t="shared" si="19"/>
        <v/>
      </c>
      <c r="X15" s="171">
        <f t="shared" ref="X15:Z20" si="22">F15+X14</f>
        <v>0</v>
      </c>
      <c r="Y15" s="171">
        <f t="shared" si="22"/>
        <v>0</v>
      </c>
      <c r="Z15" s="171">
        <f t="shared" si="22"/>
        <v>0</v>
      </c>
      <c r="AA15" s="186">
        <f t="shared" si="8"/>
        <v>0</v>
      </c>
      <c r="AB15" s="173">
        <f t="shared" si="13"/>
        <v>0</v>
      </c>
      <c r="AC15" s="76"/>
      <c r="AD15" s="76"/>
      <c r="AE15" s="76"/>
      <c r="AF15" s="76"/>
      <c r="AG15" s="76"/>
      <c r="AH15" s="76"/>
      <c r="AI15" s="76"/>
    </row>
    <row r="16" spans="1:35">
      <c r="A16" s="1"/>
      <c r="B16" s="4">
        <f t="shared" si="14"/>
        <v>45448</v>
      </c>
      <c r="C16" s="29">
        <f t="shared" si="20"/>
        <v>45448</v>
      </c>
      <c r="D16" s="6">
        <f t="shared" ca="1" si="1"/>
        <v>-157</v>
      </c>
      <c r="E16" s="90" t="s">
        <v>3</v>
      </c>
      <c r="F16" s="45"/>
      <c r="G16" s="46"/>
      <c r="H16" s="46"/>
      <c r="I16" s="151"/>
      <c r="J16" s="46"/>
      <c r="K16" s="152" t="str">
        <f t="shared" si="15"/>
        <v/>
      </c>
      <c r="L16" s="46"/>
      <c r="M16" s="46" t="str">
        <f t="shared" si="16"/>
        <v/>
      </c>
      <c r="N16" s="301"/>
      <c r="O16" s="171">
        <f t="shared" si="3"/>
        <v>1917.7762593810312</v>
      </c>
      <c r="P16" s="172">
        <f t="shared" si="17"/>
        <v>57530.552518762066</v>
      </c>
      <c r="Q16" s="128">
        <f t="shared" si="4"/>
        <v>57530.552518762066</v>
      </c>
      <c r="R16" s="128">
        <f t="shared" si="21"/>
        <v>0</v>
      </c>
      <c r="S16" s="195" t="str">
        <f t="shared" si="12"/>
        <v/>
      </c>
      <c r="T16" s="128"/>
      <c r="U16" s="128"/>
      <c r="V16" s="129" t="str">
        <f t="shared" si="18"/>
        <v/>
      </c>
      <c r="W16" s="129" t="str">
        <f t="shared" si="19"/>
        <v/>
      </c>
      <c r="X16" s="171">
        <f t="shared" si="22"/>
        <v>0</v>
      </c>
      <c r="Y16" s="171">
        <f t="shared" si="22"/>
        <v>0</v>
      </c>
      <c r="Z16" s="171">
        <f t="shared" si="22"/>
        <v>0</v>
      </c>
      <c r="AA16" s="186">
        <f t="shared" si="8"/>
        <v>0</v>
      </c>
      <c r="AB16" s="173">
        <f t="shared" si="13"/>
        <v>0</v>
      </c>
      <c r="AC16" s="76"/>
      <c r="AD16" s="76"/>
      <c r="AE16" s="76"/>
      <c r="AF16" s="76"/>
      <c r="AG16" s="76"/>
      <c r="AH16" s="76"/>
      <c r="AI16" s="76"/>
    </row>
    <row r="17" spans="1:35">
      <c r="A17" s="1"/>
      <c r="B17" s="4">
        <f t="shared" si="14"/>
        <v>45449</v>
      </c>
      <c r="C17" s="29">
        <f t="shared" si="20"/>
        <v>45449</v>
      </c>
      <c r="D17" s="6">
        <f t="shared" ca="1" si="1"/>
        <v>-158</v>
      </c>
      <c r="E17" s="90" t="s">
        <v>4</v>
      </c>
      <c r="F17" s="45"/>
      <c r="G17" s="46"/>
      <c r="H17" s="46"/>
      <c r="I17" s="151"/>
      <c r="J17" s="46"/>
      <c r="K17" s="152" t="str">
        <f t="shared" si="15"/>
        <v/>
      </c>
      <c r="L17" s="46"/>
      <c r="M17" s="46" t="str">
        <f t="shared" si="16"/>
        <v/>
      </c>
      <c r="N17" s="310"/>
      <c r="O17" s="171">
        <f t="shared" si="3"/>
        <v>1917.7762593810312</v>
      </c>
      <c r="P17" s="172">
        <f t="shared" si="17"/>
        <v>57530.552518762066</v>
      </c>
      <c r="Q17" s="128">
        <f t="shared" si="4"/>
        <v>57530.552518762066</v>
      </c>
      <c r="R17" s="128">
        <f t="shared" si="21"/>
        <v>0</v>
      </c>
      <c r="S17" s="195" t="str">
        <f t="shared" si="12"/>
        <v/>
      </c>
      <c r="T17" s="128"/>
      <c r="U17" s="128"/>
      <c r="V17" s="129" t="str">
        <f t="shared" si="18"/>
        <v/>
      </c>
      <c r="W17" s="129" t="str">
        <f t="shared" si="19"/>
        <v/>
      </c>
      <c r="X17" s="171">
        <f t="shared" si="22"/>
        <v>0</v>
      </c>
      <c r="Y17" s="171">
        <f t="shared" si="22"/>
        <v>0</v>
      </c>
      <c r="Z17" s="171">
        <f t="shared" si="22"/>
        <v>0</v>
      </c>
      <c r="AA17" s="186">
        <f t="shared" si="8"/>
        <v>0</v>
      </c>
      <c r="AB17" s="173">
        <f t="shared" si="13"/>
        <v>0</v>
      </c>
      <c r="AC17" s="76"/>
      <c r="AD17" s="76"/>
      <c r="AE17" s="76"/>
      <c r="AF17" s="76"/>
      <c r="AG17" s="76"/>
      <c r="AH17" s="76"/>
      <c r="AI17" s="76"/>
    </row>
    <row r="18" spans="1:35">
      <c r="A18" s="1"/>
      <c r="B18" s="4">
        <f t="shared" si="14"/>
        <v>45450</v>
      </c>
      <c r="C18" s="29">
        <f t="shared" si="20"/>
        <v>45450</v>
      </c>
      <c r="D18" s="6">
        <f t="shared" ca="1" si="1"/>
        <v>-159</v>
      </c>
      <c r="E18" s="90" t="s">
        <v>5</v>
      </c>
      <c r="F18" s="45"/>
      <c r="G18" s="46"/>
      <c r="H18" s="46"/>
      <c r="I18" s="151"/>
      <c r="J18" s="46"/>
      <c r="K18" s="152" t="str">
        <f t="shared" si="15"/>
        <v/>
      </c>
      <c r="L18" s="46"/>
      <c r="M18" s="46" t="str">
        <f t="shared" si="16"/>
        <v/>
      </c>
      <c r="N18" s="301"/>
      <c r="O18" s="171">
        <f t="shared" si="3"/>
        <v>1917.7762593810312</v>
      </c>
      <c r="P18" s="172">
        <f t="shared" si="17"/>
        <v>57530.552518762066</v>
      </c>
      <c r="Q18" s="128">
        <f t="shared" si="4"/>
        <v>57530.552518762066</v>
      </c>
      <c r="R18" s="128">
        <f t="shared" si="21"/>
        <v>0</v>
      </c>
      <c r="S18" s="195" t="str">
        <f t="shared" si="12"/>
        <v/>
      </c>
      <c r="T18" s="128"/>
      <c r="U18" s="128"/>
      <c r="V18" s="129" t="str">
        <f t="shared" si="18"/>
        <v/>
      </c>
      <c r="W18" s="129" t="str">
        <f t="shared" si="19"/>
        <v/>
      </c>
      <c r="X18" s="171">
        <f t="shared" si="22"/>
        <v>0</v>
      </c>
      <c r="Y18" s="171">
        <f t="shared" si="22"/>
        <v>0</v>
      </c>
      <c r="Z18" s="171">
        <f t="shared" si="22"/>
        <v>0</v>
      </c>
      <c r="AA18" s="186">
        <f t="shared" si="8"/>
        <v>0</v>
      </c>
      <c r="AB18" s="173">
        <f t="shared" si="13"/>
        <v>0</v>
      </c>
      <c r="AC18" s="76"/>
      <c r="AD18" s="76"/>
      <c r="AE18" s="76"/>
      <c r="AF18" s="76"/>
      <c r="AG18" s="76"/>
      <c r="AH18" s="76"/>
      <c r="AI18" s="76"/>
    </row>
    <row r="19" spans="1:35">
      <c r="A19" s="1"/>
      <c r="B19" s="4">
        <f t="shared" si="14"/>
        <v>45451</v>
      </c>
      <c r="C19" s="29">
        <f t="shared" si="20"/>
        <v>45451</v>
      </c>
      <c r="D19" s="6">
        <f t="shared" ca="1" si="1"/>
        <v>-160</v>
      </c>
      <c r="E19" s="90" t="s">
        <v>6</v>
      </c>
      <c r="F19" s="45"/>
      <c r="G19" s="46"/>
      <c r="H19" s="46"/>
      <c r="I19" s="151"/>
      <c r="J19" s="46"/>
      <c r="K19" s="152" t="str">
        <f t="shared" si="15"/>
        <v/>
      </c>
      <c r="L19" s="46"/>
      <c r="M19" s="46" t="str">
        <f t="shared" si="16"/>
        <v/>
      </c>
      <c r="N19" s="310"/>
      <c r="O19" s="171">
        <f t="shared" si="3"/>
        <v>1917.7762593810312</v>
      </c>
      <c r="P19" s="172">
        <f t="shared" si="17"/>
        <v>57530.552518762066</v>
      </c>
      <c r="Q19" s="128">
        <f t="shared" si="4"/>
        <v>57530.552518762066</v>
      </c>
      <c r="R19" s="128">
        <f t="shared" si="21"/>
        <v>0</v>
      </c>
      <c r="S19" s="195" t="str">
        <f t="shared" si="12"/>
        <v/>
      </c>
      <c r="T19" s="128"/>
      <c r="U19" s="128"/>
      <c r="V19" s="129" t="str">
        <f t="shared" si="18"/>
        <v/>
      </c>
      <c r="W19" s="129" t="str">
        <f t="shared" si="19"/>
        <v/>
      </c>
      <c r="X19" s="171">
        <f t="shared" si="22"/>
        <v>0</v>
      </c>
      <c r="Y19" s="171">
        <f t="shared" si="22"/>
        <v>0</v>
      </c>
      <c r="Z19" s="171">
        <f t="shared" si="22"/>
        <v>0</v>
      </c>
      <c r="AA19" s="186">
        <f t="shared" si="8"/>
        <v>0</v>
      </c>
      <c r="AB19" s="173">
        <f t="shared" si="13"/>
        <v>0</v>
      </c>
      <c r="AC19" s="76"/>
      <c r="AD19" s="76"/>
      <c r="AE19" s="76"/>
      <c r="AF19" s="76"/>
      <c r="AG19" s="76"/>
      <c r="AH19" s="76"/>
      <c r="AI19" s="76"/>
    </row>
    <row r="20" spans="1:35" ht="17" thickBot="1">
      <c r="A20" s="1"/>
      <c r="B20" s="43">
        <f t="shared" si="14"/>
        <v>45452</v>
      </c>
      <c r="C20" s="32">
        <f t="shared" si="20"/>
        <v>45452</v>
      </c>
      <c r="D20" s="44">
        <f t="shared" ca="1" si="1"/>
        <v>-161</v>
      </c>
      <c r="E20" s="93" t="s">
        <v>7</v>
      </c>
      <c r="F20" s="45"/>
      <c r="G20" s="46"/>
      <c r="H20" s="46"/>
      <c r="I20" s="151"/>
      <c r="J20" s="46"/>
      <c r="K20" s="152" t="str">
        <f t="shared" si="15"/>
        <v/>
      </c>
      <c r="L20" s="46"/>
      <c r="M20" s="46" t="str">
        <f t="shared" si="16"/>
        <v/>
      </c>
      <c r="N20" s="303"/>
      <c r="O20" s="171">
        <f t="shared" si="3"/>
        <v>1917.7762593810312</v>
      </c>
      <c r="P20" s="172">
        <f t="shared" si="17"/>
        <v>57530.552518762066</v>
      </c>
      <c r="Q20" s="128">
        <f t="shared" si="4"/>
        <v>57530.552518762066</v>
      </c>
      <c r="R20" s="128">
        <f t="shared" si="21"/>
        <v>0</v>
      </c>
      <c r="S20" s="195" t="str">
        <f t="shared" si="12"/>
        <v/>
      </c>
      <c r="T20" s="128"/>
      <c r="U20" s="128"/>
      <c r="V20" s="129" t="str">
        <f t="shared" si="18"/>
        <v/>
      </c>
      <c r="W20" s="129" t="str">
        <f t="shared" si="19"/>
        <v/>
      </c>
      <c r="X20" s="171">
        <f t="shared" si="22"/>
        <v>0</v>
      </c>
      <c r="Y20" s="171">
        <f t="shared" si="22"/>
        <v>0</v>
      </c>
      <c r="Z20" s="171">
        <f t="shared" si="22"/>
        <v>0</v>
      </c>
      <c r="AA20" s="186">
        <f t="shared" si="8"/>
        <v>0</v>
      </c>
      <c r="AB20" s="173">
        <f t="shared" si="13"/>
        <v>0</v>
      </c>
      <c r="AC20" s="76"/>
      <c r="AD20" s="76"/>
      <c r="AE20" s="76"/>
      <c r="AF20" s="76"/>
      <c r="AG20" s="76"/>
      <c r="AH20" s="76"/>
      <c r="AI20" s="76"/>
    </row>
    <row r="21" spans="1:35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71" t="str">
        <f t="shared" si="3"/>
        <v/>
      </c>
      <c r="P21" s="172"/>
      <c r="Q21" s="128">
        <f t="shared" si="4"/>
        <v>0</v>
      </c>
      <c r="R21" s="188"/>
      <c r="S21" s="195" t="str">
        <f t="shared" si="12"/>
        <v/>
      </c>
      <c r="T21" s="188"/>
      <c r="U21" s="188"/>
      <c r="V21" s="188"/>
      <c r="W21" s="188"/>
      <c r="X21" s="95"/>
      <c r="Y21" s="95"/>
      <c r="Z21" s="95"/>
      <c r="AA21" s="186">
        <f t="shared" si="8"/>
        <v>0</v>
      </c>
      <c r="AB21" s="173">
        <f t="shared" si="13"/>
        <v>0</v>
      </c>
      <c r="AC21" s="76"/>
      <c r="AD21" s="76"/>
      <c r="AE21" s="76"/>
      <c r="AF21" s="76"/>
      <c r="AG21" s="76"/>
      <c r="AH21" s="76"/>
      <c r="AI21" s="76"/>
    </row>
    <row r="22" spans="1:35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8.3412713758065813</v>
      </c>
      <c r="G22" s="53">
        <f>H22*1.0936113</f>
        <v>14680.6380912</v>
      </c>
      <c r="H22" s="104">
        <f>INT(SUM($O14:$O20))</f>
        <v>13424</v>
      </c>
      <c r="I22" s="120"/>
      <c r="J22" s="499"/>
      <c r="K22" s="500"/>
      <c r="L22" s="500"/>
      <c r="M22" s="500"/>
      <c r="N22" s="500"/>
      <c r="O22" s="171" t="str">
        <f t="shared" si="3"/>
        <v/>
      </c>
      <c r="P22" s="172"/>
      <c r="Q22" s="128">
        <f t="shared" si="4"/>
        <v>0</v>
      </c>
      <c r="R22" s="189"/>
      <c r="S22" s="195" t="str">
        <f t="shared" si="12"/>
        <v/>
      </c>
      <c r="T22" s="189"/>
      <c r="U22" s="189"/>
      <c r="V22" s="189"/>
      <c r="W22" s="189"/>
      <c r="X22" s="95"/>
      <c r="Y22" s="95"/>
      <c r="Z22" s="95"/>
      <c r="AA22" s="186">
        <f t="shared" si="8"/>
        <v>0</v>
      </c>
      <c r="AB22" s="173">
        <f t="shared" si="13"/>
        <v>0</v>
      </c>
      <c r="AC22" s="76"/>
      <c r="AD22" s="76"/>
      <c r="AE22" s="76"/>
      <c r="AF22" s="76"/>
      <c r="AG22" s="76"/>
      <c r="AH22" s="76"/>
      <c r="AI22" s="76"/>
    </row>
    <row r="23" spans="1:35" ht="17" thickTop="1">
      <c r="A23" s="1"/>
      <c r="B23" s="47">
        <f t="shared" ref="B23:B29" si="23">IF(B$2&gt;C23,0,C23)</f>
        <v>45453</v>
      </c>
      <c r="C23" s="31">
        <f>C20+1</f>
        <v>45453</v>
      </c>
      <c r="D23" s="18">
        <f t="shared" ca="1" si="1"/>
        <v>-162</v>
      </c>
      <c r="E23" s="94" t="s">
        <v>1</v>
      </c>
      <c r="F23" s="45"/>
      <c r="G23" s="46"/>
      <c r="H23" s="46"/>
      <c r="I23" s="151"/>
      <c r="J23" s="46"/>
      <c r="K23" s="152" t="str">
        <f t="shared" ref="K23:K29" si="24">IF(R23=0,"",IF(L23="","",J23))</f>
        <v/>
      </c>
      <c r="L23" s="101"/>
      <c r="M23" s="46" t="str">
        <f t="shared" ref="M23:M29" si="25">IF(R23=0,"",IF(J23="","",L23))</f>
        <v/>
      </c>
      <c r="N23" s="301"/>
      <c r="O23" s="171">
        <f t="shared" si="3"/>
        <v>1917.7762593810312</v>
      </c>
      <c r="P23" s="172">
        <f t="shared" ref="P23:P29" si="26">H$56</f>
        <v>57530.552518762066</v>
      </c>
      <c r="Q23" s="128">
        <f t="shared" si="4"/>
        <v>57530.552518762066</v>
      </c>
      <c r="R23" s="128">
        <f>IF(R$2=3,H23+G23/1.0936133+F23/0.0006213712,IF(R$2=2,H23*1.0936133+G23+F23/0.0005681818,IF(R$2=1,H23*0.0005681818*1.0936133+G23*0.0005681818+F23,"")))</f>
        <v>0</v>
      </c>
      <c r="S23" s="195" t="str">
        <f t="shared" si="12"/>
        <v/>
      </c>
      <c r="T23" s="128"/>
      <c r="U23" s="128"/>
      <c r="V23" s="129" t="str">
        <f t="shared" ref="V23:V29" si="27">IF(L23="","",IF(R23=0,"",IF(B23=0,"",IF($R$2=3,R23/L23*60/1000,IF($R$2=2,R23/L23*60/1760,IF($R$2=1,R23/L23*60,""))))))</f>
        <v/>
      </c>
      <c r="W23" s="129" t="str">
        <f t="shared" ref="W23:W29" si="28">IF(R23=0,"",IF(L23="","",V23*L23))</f>
        <v/>
      </c>
      <c r="X23" s="171">
        <f>F23+X20</f>
        <v>0</v>
      </c>
      <c r="Y23" s="171">
        <f>G23+Y20</f>
        <v>0</v>
      </c>
      <c r="Z23" s="171">
        <f>H23+Z20</f>
        <v>0</v>
      </c>
      <c r="AA23" s="186">
        <f t="shared" si="8"/>
        <v>0</v>
      </c>
      <c r="AB23" s="173">
        <f t="shared" si="13"/>
        <v>0</v>
      </c>
      <c r="AC23" s="76"/>
      <c r="AD23" s="76"/>
      <c r="AE23" s="76"/>
      <c r="AF23" s="76"/>
      <c r="AG23" s="76"/>
      <c r="AH23" s="76"/>
      <c r="AI23" s="76"/>
    </row>
    <row r="24" spans="1:35">
      <c r="A24" s="1"/>
      <c r="B24" s="4">
        <f t="shared" si="23"/>
        <v>45454</v>
      </c>
      <c r="C24" s="29">
        <f t="shared" ref="C24:C29" si="29">C23+1</f>
        <v>45454</v>
      </c>
      <c r="D24" s="6">
        <f t="shared" ca="1" si="1"/>
        <v>-163</v>
      </c>
      <c r="E24" s="90" t="s">
        <v>2</v>
      </c>
      <c r="F24" s="45"/>
      <c r="G24" s="46"/>
      <c r="H24" s="46"/>
      <c r="I24" s="151"/>
      <c r="J24" s="46"/>
      <c r="K24" s="152" t="str">
        <f t="shared" si="24"/>
        <v/>
      </c>
      <c r="L24" s="46"/>
      <c r="M24" s="46" t="str">
        <f t="shared" si="25"/>
        <v/>
      </c>
      <c r="N24" s="301"/>
      <c r="O24" s="171">
        <f t="shared" si="3"/>
        <v>1917.7762593810312</v>
      </c>
      <c r="P24" s="172">
        <f t="shared" si="26"/>
        <v>57530.552518762066</v>
      </c>
      <c r="Q24" s="128">
        <f t="shared" si="4"/>
        <v>57530.552518762066</v>
      </c>
      <c r="R24" s="128">
        <f t="shared" ref="R24:R29" si="30">IF(R$2=3,H24+G24/1.0936133+F24/0.0006213712,IF(R$2=2,H24*1.0936133+G24+F24/0.0005681818,IF(R$2=1,H24*0.0005681818*1.0936133+G24*0.0005681818+F24,"")))</f>
        <v>0</v>
      </c>
      <c r="S24" s="195" t="str">
        <f t="shared" si="12"/>
        <v/>
      </c>
      <c r="T24" s="128"/>
      <c r="U24" s="128"/>
      <c r="V24" s="129" t="str">
        <f t="shared" si="27"/>
        <v/>
      </c>
      <c r="W24" s="129" t="str">
        <f t="shared" si="28"/>
        <v/>
      </c>
      <c r="X24" s="171">
        <f t="shared" ref="X24:Z29" si="31">F24+X23</f>
        <v>0</v>
      </c>
      <c r="Y24" s="171">
        <f t="shared" si="31"/>
        <v>0</v>
      </c>
      <c r="Z24" s="171">
        <f t="shared" si="31"/>
        <v>0</v>
      </c>
      <c r="AA24" s="186">
        <f t="shared" si="8"/>
        <v>0</v>
      </c>
      <c r="AB24" s="173">
        <f t="shared" si="13"/>
        <v>0</v>
      </c>
      <c r="AC24" s="76"/>
      <c r="AD24" s="76"/>
      <c r="AE24" s="76"/>
      <c r="AF24" s="76"/>
      <c r="AG24" s="76"/>
      <c r="AH24" s="76"/>
      <c r="AI24" s="76"/>
    </row>
    <row r="25" spans="1:35">
      <c r="A25" s="1"/>
      <c r="B25" s="4">
        <f t="shared" si="23"/>
        <v>45455</v>
      </c>
      <c r="C25" s="29">
        <f t="shared" si="29"/>
        <v>45455</v>
      </c>
      <c r="D25" s="6">
        <f t="shared" ca="1" si="1"/>
        <v>-164</v>
      </c>
      <c r="E25" s="90" t="s">
        <v>3</v>
      </c>
      <c r="F25" s="45"/>
      <c r="G25" s="46"/>
      <c r="H25" s="46"/>
      <c r="I25" s="151"/>
      <c r="J25" s="46"/>
      <c r="K25" s="152" t="str">
        <f t="shared" si="24"/>
        <v/>
      </c>
      <c r="L25" s="46"/>
      <c r="M25" s="46" t="str">
        <f t="shared" si="25"/>
        <v/>
      </c>
      <c r="N25" s="301"/>
      <c r="O25" s="171">
        <f t="shared" si="3"/>
        <v>1917.7762593810312</v>
      </c>
      <c r="P25" s="172">
        <f t="shared" si="26"/>
        <v>57530.552518762066</v>
      </c>
      <c r="Q25" s="128">
        <f t="shared" si="4"/>
        <v>57530.552518762066</v>
      </c>
      <c r="R25" s="128">
        <f t="shared" si="30"/>
        <v>0</v>
      </c>
      <c r="S25" s="195" t="str">
        <f t="shared" si="12"/>
        <v/>
      </c>
      <c r="T25" s="128"/>
      <c r="U25" s="128"/>
      <c r="V25" s="129" t="str">
        <f t="shared" si="27"/>
        <v/>
      </c>
      <c r="W25" s="129" t="str">
        <f t="shared" si="28"/>
        <v/>
      </c>
      <c r="X25" s="171">
        <f t="shared" si="31"/>
        <v>0</v>
      </c>
      <c r="Y25" s="171">
        <f t="shared" si="31"/>
        <v>0</v>
      </c>
      <c r="Z25" s="171">
        <f t="shared" si="31"/>
        <v>0</v>
      </c>
      <c r="AA25" s="186">
        <f t="shared" si="8"/>
        <v>0</v>
      </c>
      <c r="AB25" s="173">
        <f t="shared" si="13"/>
        <v>0</v>
      </c>
      <c r="AC25" s="76"/>
      <c r="AD25" s="76"/>
      <c r="AE25" s="76"/>
      <c r="AF25" s="76"/>
      <c r="AG25" s="76"/>
      <c r="AH25" s="76"/>
      <c r="AI25" s="76"/>
    </row>
    <row r="26" spans="1:35">
      <c r="A26" s="1"/>
      <c r="B26" s="4">
        <f t="shared" si="23"/>
        <v>45456</v>
      </c>
      <c r="C26" s="29">
        <f t="shared" si="29"/>
        <v>45456</v>
      </c>
      <c r="D26" s="6">
        <f t="shared" ca="1" si="1"/>
        <v>-165</v>
      </c>
      <c r="E26" s="90" t="s">
        <v>4</v>
      </c>
      <c r="F26" s="45"/>
      <c r="G26" s="46"/>
      <c r="H26" s="46"/>
      <c r="I26" s="151"/>
      <c r="J26" s="46"/>
      <c r="K26" s="152" t="str">
        <f t="shared" si="24"/>
        <v/>
      </c>
      <c r="L26" s="46"/>
      <c r="M26" s="46" t="str">
        <f t="shared" si="25"/>
        <v/>
      </c>
      <c r="N26" s="301"/>
      <c r="O26" s="171">
        <f t="shared" si="3"/>
        <v>1917.7762593810312</v>
      </c>
      <c r="P26" s="172">
        <f t="shared" si="26"/>
        <v>57530.552518762066</v>
      </c>
      <c r="Q26" s="128">
        <f t="shared" si="4"/>
        <v>57530.552518762066</v>
      </c>
      <c r="R26" s="128">
        <f t="shared" si="30"/>
        <v>0</v>
      </c>
      <c r="S26" s="195" t="str">
        <f t="shared" si="12"/>
        <v/>
      </c>
      <c r="T26" s="128"/>
      <c r="U26" s="128"/>
      <c r="V26" s="129" t="str">
        <f t="shared" si="27"/>
        <v/>
      </c>
      <c r="W26" s="129" t="str">
        <f t="shared" si="28"/>
        <v/>
      </c>
      <c r="X26" s="171">
        <f t="shared" si="31"/>
        <v>0</v>
      </c>
      <c r="Y26" s="171">
        <f t="shared" si="31"/>
        <v>0</v>
      </c>
      <c r="Z26" s="171">
        <f t="shared" si="31"/>
        <v>0</v>
      </c>
      <c r="AA26" s="186">
        <f t="shared" si="8"/>
        <v>0</v>
      </c>
      <c r="AB26" s="173">
        <f t="shared" si="13"/>
        <v>0</v>
      </c>
      <c r="AC26" s="76"/>
      <c r="AD26" s="76"/>
      <c r="AE26" s="76"/>
      <c r="AF26" s="76"/>
      <c r="AG26" s="76"/>
      <c r="AH26" s="76"/>
      <c r="AI26" s="76"/>
    </row>
    <row r="27" spans="1:35">
      <c r="A27" s="1"/>
      <c r="B27" s="4">
        <f t="shared" si="23"/>
        <v>45457</v>
      </c>
      <c r="C27" s="29">
        <f t="shared" si="29"/>
        <v>45457</v>
      </c>
      <c r="D27" s="6">
        <f t="shared" ca="1" si="1"/>
        <v>-166</v>
      </c>
      <c r="E27" s="90" t="s">
        <v>5</v>
      </c>
      <c r="F27" s="45"/>
      <c r="G27" s="46"/>
      <c r="H27" s="46"/>
      <c r="I27" s="151"/>
      <c r="J27" s="46"/>
      <c r="K27" s="152" t="str">
        <f t="shared" si="24"/>
        <v/>
      </c>
      <c r="L27" s="46"/>
      <c r="M27" s="46" t="str">
        <f t="shared" si="25"/>
        <v/>
      </c>
      <c r="N27" s="301"/>
      <c r="O27" s="171">
        <f t="shared" si="3"/>
        <v>1917.7762593810312</v>
      </c>
      <c r="P27" s="172">
        <f t="shared" si="26"/>
        <v>57530.552518762066</v>
      </c>
      <c r="Q27" s="128">
        <f t="shared" si="4"/>
        <v>57530.552518762066</v>
      </c>
      <c r="R27" s="128">
        <f t="shared" si="30"/>
        <v>0</v>
      </c>
      <c r="S27" s="195" t="str">
        <f t="shared" si="12"/>
        <v/>
      </c>
      <c r="T27" s="128"/>
      <c r="U27" s="128"/>
      <c r="V27" s="129" t="str">
        <f t="shared" si="27"/>
        <v/>
      </c>
      <c r="W27" s="129" t="str">
        <f t="shared" si="28"/>
        <v/>
      </c>
      <c r="X27" s="171">
        <f t="shared" si="31"/>
        <v>0</v>
      </c>
      <c r="Y27" s="171">
        <f t="shared" si="31"/>
        <v>0</v>
      </c>
      <c r="Z27" s="171">
        <f t="shared" si="31"/>
        <v>0</v>
      </c>
      <c r="AA27" s="186">
        <f t="shared" si="8"/>
        <v>0</v>
      </c>
      <c r="AB27" s="173">
        <f t="shared" si="13"/>
        <v>0</v>
      </c>
      <c r="AC27" s="76"/>
      <c r="AD27" s="76"/>
      <c r="AE27" s="76"/>
      <c r="AF27" s="76"/>
      <c r="AG27" s="76"/>
      <c r="AH27" s="76"/>
      <c r="AI27" s="76"/>
    </row>
    <row r="28" spans="1:35">
      <c r="A28" s="1"/>
      <c r="B28" s="4">
        <f t="shared" si="23"/>
        <v>45458</v>
      </c>
      <c r="C28" s="29">
        <f t="shared" si="29"/>
        <v>45458</v>
      </c>
      <c r="D28" s="6">
        <f t="shared" ca="1" si="1"/>
        <v>-167</v>
      </c>
      <c r="E28" s="90" t="s">
        <v>6</v>
      </c>
      <c r="F28" s="45"/>
      <c r="G28" s="46"/>
      <c r="H28" s="46"/>
      <c r="I28" s="151"/>
      <c r="J28" s="46"/>
      <c r="K28" s="152" t="str">
        <f t="shared" si="24"/>
        <v/>
      </c>
      <c r="L28" s="46"/>
      <c r="M28" s="46" t="str">
        <f t="shared" si="25"/>
        <v/>
      </c>
      <c r="N28" s="301"/>
      <c r="O28" s="171">
        <f t="shared" si="3"/>
        <v>1917.7762593810312</v>
      </c>
      <c r="P28" s="172">
        <f t="shared" si="26"/>
        <v>57530.552518762066</v>
      </c>
      <c r="Q28" s="128">
        <f t="shared" si="4"/>
        <v>57530.552518762066</v>
      </c>
      <c r="R28" s="128">
        <f t="shared" si="30"/>
        <v>0</v>
      </c>
      <c r="S28" s="195" t="str">
        <f t="shared" si="12"/>
        <v/>
      </c>
      <c r="T28" s="128"/>
      <c r="U28" s="128"/>
      <c r="V28" s="129" t="str">
        <f t="shared" si="27"/>
        <v/>
      </c>
      <c r="W28" s="129" t="str">
        <f t="shared" si="28"/>
        <v/>
      </c>
      <c r="X28" s="171">
        <f t="shared" si="31"/>
        <v>0</v>
      </c>
      <c r="Y28" s="171">
        <f t="shared" si="31"/>
        <v>0</v>
      </c>
      <c r="Z28" s="171">
        <f t="shared" si="31"/>
        <v>0</v>
      </c>
      <c r="AA28" s="186">
        <f t="shared" si="8"/>
        <v>0</v>
      </c>
      <c r="AB28" s="173">
        <f t="shared" si="13"/>
        <v>0</v>
      </c>
      <c r="AC28" s="76"/>
      <c r="AD28" s="76"/>
      <c r="AE28" s="76"/>
      <c r="AF28" s="76"/>
      <c r="AG28" s="76"/>
      <c r="AH28" s="76"/>
      <c r="AI28" s="76"/>
    </row>
    <row r="29" spans="1:35" ht="17" thickBot="1">
      <c r="A29" s="1"/>
      <c r="B29" s="43">
        <f t="shared" si="23"/>
        <v>45459</v>
      </c>
      <c r="C29" s="32">
        <f t="shared" si="29"/>
        <v>45459</v>
      </c>
      <c r="D29" s="44">
        <f t="shared" ca="1" si="1"/>
        <v>-168</v>
      </c>
      <c r="E29" s="93" t="s">
        <v>7</v>
      </c>
      <c r="F29" s="45"/>
      <c r="G29" s="46"/>
      <c r="H29" s="46"/>
      <c r="I29" s="151"/>
      <c r="J29" s="46"/>
      <c r="K29" s="152" t="str">
        <f t="shared" si="24"/>
        <v/>
      </c>
      <c r="L29" s="46"/>
      <c r="M29" s="46" t="str">
        <f t="shared" si="25"/>
        <v/>
      </c>
      <c r="N29" s="301"/>
      <c r="O29" s="171">
        <f t="shared" si="3"/>
        <v>1917.7762593810312</v>
      </c>
      <c r="P29" s="172">
        <f t="shared" si="26"/>
        <v>57530.552518762066</v>
      </c>
      <c r="Q29" s="128">
        <f t="shared" si="4"/>
        <v>57530.552518762066</v>
      </c>
      <c r="R29" s="128">
        <f t="shared" si="30"/>
        <v>0</v>
      </c>
      <c r="S29" s="195" t="str">
        <f t="shared" si="12"/>
        <v/>
      </c>
      <c r="T29" s="128"/>
      <c r="U29" s="128"/>
      <c r="V29" s="129" t="str">
        <f t="shared" si="27"/>
        <v/>
      </c>
      <c r="W29" s="129" t="str">
        <f t="shared" si="28"/>
        <v/>
      </c>
      <c r="X29" s="171">
        <f t="shared" si="31"/>
        <v>0</v>
      </c>
      <c r="Y29" s="171">
        <f t="shared" si="31"/>
        <v>0</v>
      </c>
      <c r="Z29" s="171">
        <f t="shared" si="31"/>
        <v>0</v>
      </c>
      <c r="AA29" s="186">
        <f t="shared" si="8"/>
        <v>0</v>
      </c>
      <c r="AB29" s="173">
        <f t="shared" si="13"/>
        <v>0</v>
      </c>
      <c r="AC29" s="76"/>
      <c r="AD29" s="76"/>
      <c r="AE29" s="76"/>
      <c r="AF29" s="76"/>
      <c r="AG29" s="76"/>
      <c r="AH29" s="76"/>
      <c r="AI29" s="76"/>
    </row>
    <row r="30" spans="1:35" ht="17" customHeight="1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71" t="str">
        <f t="shared" si="3"/>
        <v/>
      </c>
      <c r="P30" s="172"/>
      <c r="Q30" s="128">
        <f t="shared" si="4"/>
        <v>0</v>
      </c>
      <c r="R30" s="188"/>
      <c r="S30" s="195" t="str">
        <f t="shared" si="12"/>
        <v/>
      </c>
      <c r="T30" s="188"/>
      <c r="U30" s="188"/>
      <c r="V30" s="188"/>
      <c r="W30" s="188"/>
      <c r="X30" s="95"/>
      <c r="Y30" s="95"/>
      <c r="Z30" s="95"/>
      <c r="AA30" s="186">
        <f t="shared" si="8"/>
        <v>0</v>
      </c>
      <c r="AB30" s="173">
        <f t="shared" si="13"/>
        <v>0</v>
      </c>
      <c r="AC30" s="76"/>
      <c r="AD30" s="76"/>
      <c r="AE30" s="76"/>
      <c r="AF30" s="76"/>
      <c r="AG30" s="76"/>
      <c r="AH30" s="76"/>
      <c r="AI30" s="76"/>
    </row>
    <row r="31" spans="1:35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8.3412713758065813</v>
      </c>
      <c r="G31" s="53">
        <f>H31*1.0936113</f>
        <v>14680.6380912</v>
      </c>
      <c r="H31" s="104">
        <f>INT(SUM($O23:$O29))</f>
        <v>13424</v>
      </c>
      <c r="I31" s="120"/>
      <c r="J31" s="503"/>
      <c r="K31" s="504"/>
      <c r="L31" s="504"/>
      <c r="M31" s="271"/>
      <c r="N31" s="506"/>
      <c r="O31" s="171" t="str">
        <f t="shared" si="3"/>
        <v/>
      </c>
      <c r="P31" s="172"/>
      <c r="Q31" s="128">
        <f t="shared" si="4"/>
        <v>0</v>
      </c>
      <c r="R31" s="189"/>
      <c r="S31" s="195" t="str">
        <f t="shared" si="12"/>
        <v/>
      </c>
      <c r="T31" s="189"/>
      <c r="U31" s="189"/>
      <c r="V31" s="189"/>
      <c r="W31" s="189"/>
      <c r="X31" s="95"/>
      <c r="Y31" s="95"/>
      <c r="Z31" s="95"/>
      <c r="AA31" s="186">
        <f t="shared" si="8"/>
        <v>0</v>
      </c>
      <c r="AB31" s="173">
        <f t="shared" si="13"/>
        <v>0</v>
      </c>
      <c r="AC31" s="76"/>
      <c r="AD31" s="76"/>
      <c r="AE31" s="76"/>
      <c r="AF31" s="76"/>
      <c r="AG31" s="76"/>
      <c r="AH31" s="76"/>
      <c r="AI31" s="76"/>
    </row>
    <row r="32" spans="1:35" ht="17" thickTop="1">
      <c r="A32" s="1"/>
      <c r="B32" s="47">
        <f t="shared" ref="B32:B38" si="32">IF(B$2&gt;C32,0,C32)</f>
        <v>45460</v>
      </c>
      <c r="C32" s="31">
        <f>C29+1</f>
        <v>45460</v>
      </c>
      <c r="D32" s="18">
        <f t="shared" ca="1" si="1"/>
        <v>-169</v>
      </c>
      <c r="E32" s="94" t="s">
        <v>1</v>
      </c>
      <c r="F32" s="45"/>
      <c r="G32" s="46"/>
      <c r="H32" s="46"/>
      <c r="I32" s="151"/>
      <c r="J32" s="46"/>
      <c r="K32" s="152" t="str">
        <f t="shared" ref="K32:K38" si="33">IF(R32=0,"",IF(L32="","",J32))</f>
        <v/>
      </c>
      <c r="L32" s="121"/>
      <c r="M32" s="46" t="str">
        <f>IF(R32=0,"",IF(J32="","",L32))</f>
        <v/>
      </c>
      <c r="N32" s="301"/>
      <c r="O32" s="171">
        <f t="shared" si="3"/>
        <v>1917.7762593810312</v>
      </c>
      <c r="P32" s="172">
        <f t="shared" ref="P32:P38" si="34">H$56</f>
        <v>57530.552518762066</v>
      </c>
      <c r="Q32" s="128">
        <f t="shared" si="4"/>
        <v>57530.552518762066</v>
      </c>
      <c r="R32" s="128">
        <f>IF(R$2=3,H32+G32/1.0936133+F32/0.0006213712,IF(R$2=2,H32*1.0936133+G32+F32/0.0005681818,IF(R$2=1,H32*0.0005681818*1.0936133+G32*0.0005681818+F32,"")))</f>
        <v>0</v>
      </c>
      <c r="S32" s="195" t="str">
        <f t="shared" si="12"/>
        <v/>
      </c>
      <c r="T32" s="128"/>
      <c r="U32" s="128"/>
      <c r="V32" s="129" t="str">
        <f t="shared" ref="V32:V38" si="35">IF(L32="","",IF(R32=0,"",IF(B32=0,"",IF($R$2=3,R32/L32*60/1000,IF($R$2=2,R32/L32*60/1760,IF($R$2=1,R32/L32*60,""))))))</f>
        <v/>
      </c>
      <c r="W32" s="129" t="str">
        <f t="shared" ref="W32:W38" si="36">IF(R32=0,"",IF(L32="","",V32*L32))</f>
        <v/>
      </c>
      <c r="X32" s="171">
        <f>F32+X29</f>
        <v>0</v>
      </c>
      <c r="Y32" s="171">
        <f>G32+Y29</f>
        <v>0</v>
      </c>
      <c r="Z32" s="171">
        <f>H32+Z29</f>
        <v>0</v>
      </c>
      <c r="AA32" s="186">
        <f t="shared" si="8"/>
        <v>0</v>
      </c>
      <c r="AB32" s="173">
        <f t="shared" si="13"/>
        <v>0</v>
      </c>
      <c r="AC32" s="76"/>
      <c r="AD32" s="76"/>
      <c r="AE32" s="76"/>
      <c r="AF32" s="76"/>
      <c r="AG32" s="76"/>
      <c r="AH32" s="76"/>
      <c r="AI32" s="76"/>
    </row>
    <row r="33" spans="1:35">
      <c r="A33" s="1"/>
      <c r="B33" s="4">
        <f t="shared" si="32"/>
        <v>45461</v>
      </c>
      <c r="C33" s="29">
        <f t="shared" ref="C33:C38" si="37">C32+1</f>
        <v>45461</v>
      </c>
      <c r="D33" s="6">
        <f t="shared" ca="1" si="1"/>
        <v>-170</v>
      </c>
      <c r="E33" s="90" t="s">
        <v>2</v>
      </c>
      <c r="F33" s="45"/>
      <c r="G33" s="46"/>
      <c r="H33" s="46"/>
      <c r="I33" s="151"/>
      <c r="J33" s="46"/>
      <c r="K33" s="152" t="str">
        <f t="shared" si="33"/>
        <v/>
      </c>
      <c r="L33" s="46"/>
      <c r="M33" s="46" t="str">
        <f t="shared" ref="M33:M38" si="38">IF(R33=0,"",IF(J33="","",L33))</f>
        <v/>
      </c>
      <c r="N33" s="301"/>
      <c r="O33" s="171">
        <f t="shared" si="3"/>
        <v>1917.7762593810312</v>
      </c>
      <c r="P33" s="172">
        <f t="shared" si="34"/>
        <v>57530.552518762066</v>
      </c>
      <c r="Q33" s="128">
        <f t="shared" si="4"/>
        <v>57530.552518762066</v>
      </c>
      <c r="R33" s="128">
        <f t="shared" ref="R33:R38" si="39">IF(R$2=3,H33+G33/1.0936133+F33/0.0006213712,IF(R$2=2,H33*1.0936133+G33+F33/0.0005681818,IF(R$2=1,H33*0.0005681818*1.0936133+G33*0.0005681818+F33,"")))</f>
        <v>0</v>
      </c>
      <c r="S33" s="195" t="str">
        <f t="shared" si="12"/>
        <v/>
      </c>
      <c r="T33" s="128"/>
      <c r="U33" s="128"/>
      <c r="V33" s="129" t="str">
        <f t="shared" si="35"/>
        <v/>
      </c>
      <c r="W33" s="129" t="str">
        <f t="shared" si="36"/>
        <v/>
      </c>
      <c r="X33" s="171">
        <f t="shared" ref="X33:Z38" si="40">F33+X32</f>
        <v>0</v>
      </c>
      <c r="Y33" s="171">
        <f t="shared" si="40"/>
        <v>0</v>
      </c>
      <c r="Z33" s="171">
        <f t="shared" si="40"/>
        <v>0</v>
      </c>
      <c r="AA33" s="186">
        <f t="shared" si="8"/>
        <v>0</v>
      </c>
      <c r="AB33" s="173">
        <f t="shared" si="13"/>
        <v>0</v>
      </c>
      <c r="AC33" s="76"/>
      <c r="AD33" s="76"/>
      <c r="AE33" s="76"/>
      <c r="AF33" s="76"/>
      <c r="AG33" s="76"/>
      <c r="AH33" s="76"/>
      <c r="AI33" s="76"/>
    </row>
    <row r="34" spans="1:35">
      <c r="A34" s="1"/>
      <c r="B34" s="4">
        <f t="shared" si="32"/>
        <v>45462</v>
      </c>
      <c r="C34" s="29">
        <f t="shared" si="37"/>
        <v>45462</v>
      </c>
      <c r="D34" s="6">
        <f t="shared" ca="1" si="1"/>
        <v>-171</v>
      </c>
      <c r="E34" s="90" t="s">
        <v>3</v>
      </c>
      <c r="F34" s="45"/>
      <c r="G34" s="46"/>
      <c r="H34" s="46"/>
      <c r="I34" s="151"/>
      <c r="J34" s="46"/>
      <c r="K34" s="152" t="str">
        <f t="shared" si="33"/>
        <v/>
      </c>
      <c r="L34" s="46"/>
      <c r="M34" s="46" t="str">
        <f t="shared" si="38"/>
        <v/>
      </c>
      <c r="N34" s="301"/>
      <c r="O34" s="171">
        <f t="shared" si="3"/>
        <v>1917.7762593810312</v>
      </c>
      <c r="P34" s="172">
        <f t="shared" si="34"/>
        <v>57530.552518762066</v>
      </c>
      <c r="Q34" s="128">
        <f t="shared" si="4"/>
        <v>57530.552518762066</v>
      </c>
      <c r="R34" s="128">
        <f t="shared" si="39"/>
        <v>0</v>
      </c>
      <c r="S34" s="195" t="str">
        <f t="shared" si="12"/>
        <v/>
      </c>
      <c r="T34" s="128"/>
      <c r="U34" s="128"/>
      <c r="V34" s="129" t="str">
        <f t="shared" si="35"/>
        <v/>
      </c>
      <c r="W34" s="129" t="str">
        <f t="shared" si="36"/>
        <v/>
      </c>
      <c r="X34" s="171">
        <f t="shared" si="40"/>
        <v>0</v>
      </c>
      <c r="Y34" s="171">
        <f t="shared" si="40"/>
        <v>0</v>
      </c>
      <c r="Z34" s="171">
        <f t="shared" si="40"/>
        <v>0</v>
      </c>
      <c r="AA34" s="186">
        <f t="shared" si="8"/>
        <v>0</v>
      </c>
      <c r="AB34" s="173">
        <f t="shared" si="13"/>
        <v>0</v>
      </c>
      <c r="AC34" s="76"/>
      <c r="AD34" s="76"/>
      <c r="AE34" s="76"/>
      <c r="AF34" s="76"/>
      <c r="AG34" s="76"/>
      <c r="AH34" s="76"/>
      <c r="AI34" s="76"/>
    </row>
    <row r="35" spans="1:35">
      <c r="A35" s="1"/>
      <c r="B35" s="4">
        <f t="shared" si="32"/>
        <v>45463</v>
      </c>
      <c r="C35" s="29">
        <f t="shared" si="37"/>
        <v>45463</v>
      </c>
      <c r="D35" s="6">
        <f t="shared" ca="1" si="1"/>
        <v>-172</v>
      </c>
      <c r="E35" s="90" t="s">
        <v>4</v>
      </c>
      <c r="F35" s="45"/>
      <c r="G35" s="46"/>
      <c r="H35" s="46"/>
      <c r="I35" s="151"/>
      <c r="J35" s="46"/>
      <c r="K35" s="152" t="str">
        <f t="shared" si="33"/>
        <v/>
      </c>
      <c r="L35" s="46"/>
      <c r="M35" s="46" t="str">
        <f t="shared" si="38"/>
        <v/>
      </c>
      <c r="N35" s="310"/>
      <c r="O35" s="171">
        <f t="shared" si="3"/>
        <v>1917.7762593810312</v>
      </c>
      <c r="P35" s="172">
        <f t="shared" si="34"/>
        <v>57530.552518762066</v>
      </c>
      <c r="Q35" s="128">
        <f t="shared" si="4"/>
        <v>57530.552518762066</v>
      </c>
      <c r="R35" s="128">
        <f t="shared" si="39"/>
        <v>0</v>
      </c>
      <c r="S35" s="195" t="str">
        <f t="shared" si="12"/>
        <v/>
      </c>
      <c r="T35" s="128"/>
      <c r="U35" s="128"/>
      <c r="V35" s="129" t="str">
        <f t="shared" si="35"/>
        <v/>
      </c>
      <c r="W35" s="129" t="str">
        <f t="shared" si="36"/>
        <v/>
      </c>
      <c r="X35" s="171">
        <f t="shared" si="40"/>
        <v>0</v>
      </c>
      <c r="Y35" s="171">
        <f t="shared" si="40"/>
        <v>0</v>
      </c>
      <c r="Z35" s="171">
        <f t="shared" si="40"/>
        <v>0</v>
      </c>
      <c r="AA35" s="186">
        <f t="shared" si="8"/>
        <v>0</v>
      </c>
      <c r="AB35" s="173">
        <f t="shared" si="13"/>
        <v>0</v>
      </c>
      <c r="AC35" s="76"/>
      <c r="AD35" s="76"/>
      <c r="AE35" s="76"/>
      <c r="AF35" s="76"/>
      <c r="AG35" s="76"/>
      <c r="AH35" s="76"/>
      <c r="AI35" s="76"/>
    </row>
    <row r="36" spans="1:35">
      <c r="A36" s="1"/>
      <c r="B36" s="4">
        <f t="shared" si="32"/>
        <v>45464</v>
      </c>
      <c r="C36" s="29">
        <f t="shared" si="37"/>
        <v>45464</v>
      </c>
      <c r="D36" s="6">
        <f t="shared" ca="1" si="1"/>
        <v>-173</v>
      </c>
      <c r="E36" s="90" t="s">
        <v>5</v>
      </c>
      <c r="F36" s="45"/>
      <c r="G36" s="46"/>
      <c r="H36" s="46"/>
      <c r="I36" s="151"/>
      <c r="J36" s="46"/>
      <c r="K36" s="152" t="str">
        <f t="shared" si="33"/>
        <v/>
      </c>
      <c r="L36" s="46"/>
      <c r="M36" s="46" t="str">
        <f t="shared" si="38"/>
        <v/>
      </c>
      <c r="N36" s="301"/>
      <c r="O36" s="171">
        <f t="shared" si="3"/>
        <v>1917.7762593810312</v>
      </c>
      <c r="P36" s="172">
        <f t="shared" si="34"/>
        <v>57530.552518762066</v>
      </c>
      <c r="Q36" s="128">
        <f t="shared" si="4"/>
        <v>57530.552518762066</v>
      </c>
      <c r="R36" s="128">
        <f t="shared" si="39"/>
        <v>0</v>
      </c>
      <c r="S36" s="195" t="str">
        <f t="shared" si="12"/>
        <v/>
      </c>
      <c r="T36" s="128"/>
      <c r="U36" s="128"/>
      <c r="V36" s="129" t="str">
        <f t="shared" si="35"/>
        <v/>
      </c>
      <c r="W36" s="129" t="str">
        <f t="shared" si="36"/>
        <v/>
      </c>
      <c r="X36" s="171">
        <f t="shared" si="40"/>
        <v>0</v>
      </c>
      <c r="Y36" s="171">
        <f t="shared" si="40"/>
        <v>0</v>
      </c>
      <c r="Z36" s="171">
        <f t="shared" si="40"/>
        <v>0</v>
      </c>
      <c r="AA36" s="186">
        <f t="shared" si="8"/>
        <v>0</v>
      </c>
      <c r="AB36" s="173">
        <f t="shared" si="13"/>
        <v>0</v>
      </c>
      <c r="AC36" s="76"/>
      <c r="AD36" s="76"/>
      <c r="AE36" s="76"/>
      <c r="AF36" s="76"/>
      <c r="AG36" s="76"/>
      <c r="AH36" s="76"/>
      <c r="AI36" s="76"/>
    </row>
    <row r="37" spans="1:35">
      <c r="A37" s="1"/>
      <c r="B37" s="4">
        <f t="shared" si="32"/>
        <v>45465</v>
      </c>
      <c r="C37" s="29">
        <f t="shared" si="37"/>
        <v>45465</v>
      </c>
      <c r="D37" s="6">
        <f t="shared" ca="1" si="1"/>
        <v>-174</v>
      </c>
      <c r="E37" s="90" t="s">
        <v>6</v>
      </c>
      <c r="F37" s="45"/>
      <c r="G37" s="46"/>
      <c r="H37" s="46"/>
      <c r="I37" s="151"/>
      <c r="J37" s="46"/>
      <c r="K37" s="152" t="str">
        <f t="shared" si="33"/>
        <v/>
      </c>
      <c r="L37" s="46"/>
      <c r="M37" s="46" t="str">
        <f t="shared" si="38"/>
        <v/>
      </c>
      <c r="N37" s="310"/>
      <c r="O37" s="171">
        <f t="shared" si="3"/>
        <v>1917.7762593810312</v>
      </c>
      <c r="P37" s="172">
        <f t="shared" si="34"/>
        <v>57530.552518762066</v>
      </c>
      <c r="Q37" s="128">
        <f t="shared" si="4"/>
        <v>57530.552518762066</v>
      </c>
      <c r="R37" s="128">
        <f t="shared" si="39"/>
        <v>0</v>
      </c>
      <c r="S37" s="195" t="str">
        <f t="shared" si="12"/>
        <v/>
      </c>
      <c r="T37" s="128"/>
      <c r="U37" s="128"/>
      <c r="V37" s="129" t="str">
        <f t="shared" si="35"/>
        <v/>
      </c>
      <c r="W37" s="129" t="str">
        <f t="shared" si="36"/>
        <v/>
      </c>
      <c r="X37" s="171">
        <f t="shared" si="40"/>
        <v>0</v>
      </c>
      <c r="Y37" s="171">
        <f t="shared" si="40"/>
        <v>0</v>
      </c>
      <c r="Z37" s="171">
        <f t="shared" si="40"/>
        <v>0</v>
      </c>
      <c r="AA37" s="186">
        <f t="shared" si="8"/>
        <v>0</v>
      </c>
      <c r="AB37" s="173">
        <f t="shared" si="13"/>
        <v>0</v>
      </c>
      <c r="AC37" s="76"/>
      <c r="AD37" s="76"/>
      <c r="AE37" s="76"/>
      <c r="AF37" s="76"/>
      <c r="AG37" s="76"/>
      <c r="AH37" s="76"/>
      <c r="AI37" s="76"/>
    </row>
    <row r="38" spans="1:35" ht="17" thickBot="1">
      <c r="A38" s="1"/>
      <c r="B38" s="43">
        <f t="shared" si="32"/>
        <v>45466</v>
      </c>
      <c r="C38" s="32">
        <f t="shared" si="37"/>
        <v>45466</v>
      </c>
      <c r="D38" s="44">
        <f t="shared" ca="1" si="1"/>
        <v>-175</v>
      </c>
      <c r="E38" s="93" t="s">
        <v>7</v>
      </c>
      <c r="F38" s="45"/>
      <c r="G38" s="46"/>
      <c r="H38" s="46"/>
      <c r="I38" s="151"/>
      <c r="J38" s="46"/>
      <c r="K38" s="152" t="str">
        <f t="shared" si="33"/>
        <v/>
      </c>
      <c r="L38" s="46"/>
      <c r="M38" s="46" t="str">
        <f t="shared" si="38"/>
        <v/>
      </c>
      <c r="N38" s="303"/>
      <c r="O38" s="171">
        <f t="shared" si="3"/>
        <v>1917.7762593810312</v>
      </c>
      <c r="P38" s="172">
        <f t="shared" si="34"/>
        <v>57530.552518762066</v>
      </c>
      <c r="Q38" s="128">
        <f t="shared" si="4"/>
        <v>57530.552518762066</v>
      </c>
      <c r="R38" s="128">
        <f t="shared" si="39"/>
        <v>0</v>
      </c>
      <c r="S38" s="195" t="str">
        <f t="shared" si="12"/>
        <v/>
      </c>
      <c r="T38" s="128"/>
      <c r="U38" s="128"/>
      <c r="V38" s="129" t="str">
        <f t="shared" si="35"/>
        <v/>
      </c>
      <c r="W38" s="129" t="str">
        <f t="shared" si="36"/>
        <v/>
      </c>
      <c r="X38" s="171">
        <f t="shared" si="40"/>
        <v>0</v>
      </c>
      <c r="Y38" s="171">
        <f t="shared" si="40"/>
        <v>0</v>
      </c>
      <c r="Z38" s="171">
        <f t="shared" si="40"/>
        <v>0</v>
      </c>
      <c r="AA38" s="186">
        <f t="shared" si="8"/>
        <v>0</v>
      </c>
      <c r="AB38" s="173">
        <f t="shared" si="13"/>
        <v>0</v>
      </c>
      <c r="AC38" s="76"/>
      <c r="AD38" s="76"/>
      <c r="AE38" s="76"/>
      <c r="AF38" s="76"/>
      <c r="AG38" s="76"/>
      <c r="AH38" s="76"/>
      <c r="AI38" s="76"/>
    </row>
    <row r="39" spans="1:35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71" t="str">
        <f t="shared" si="3"/>
        <v/>
      </c>
      <c r="P39" s="172"/>
      <c r="Q39" s="128">
        <f t="shared" si="4"/>
        <v>0</v>
      </c>
      <c r="R39" s="188"/>
      <c r="S39" s="195" t="str">
        <f t="shared" si="12"/>
        <v/>
      </c>
      <c r="T39" s="188"/>
      <c r="U39" s="188"/>
      <c r="V39" s="188"/>
      <c r="W39" s="188"/>
      <c r="X39" s="95"/>
      <c r="Y39" s="95"/>
      <c r="Z39" s="95"/>
      <c r="AA39" s="186">
        <f t="shared" si="8"/>
        <v>0</v>
      </c>
      <c r="AB39" s="173">
        <f t="shared" si="13"/>
        <v>0</v>
      </c>
      <c r="AC39" s="76"/>
      <c r="AD39" s="76"/>
      <c r="AE39" s="76"/>
      <c r="AF39" s="76"/>
      <c r="AG39" s="76"/>
      <c r="AH39" s="76"/>
      <c r="AI39" s="76"/>
    </row>
    <row r="40" spans="1:35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8.3412713758065813</v>
      </c>
      <c r="G40" s="53">
        <f>H40*1.0936113</f>
        <v>14680.6380912</v>
      </c>
      <c r="H40" s="5">
        <f>INT(SUM($O32:$O38))</f>
        <v>13424</v>
      </c>
      <c r="I40" s="120"/>
      <c r="J40" s="123"/>
      <c r="K40" s="124"/>
      <c r="L40" s="159">
        <f>COUNT(S5:S51)-COUNT(V5:V51)</f>
        <v>0</v>
      </c>
      <c r="M40" s="124"/>
      <c r="N40" s="124"/>
      <c r="O40" s="171" t="str">
        <f t="shared" si="3"/>
        <v/>
      </c>
      <c r="P40" s="172"/>
      <c r="Q40" s="128">
        <f t="shared" si="4"/>
        <v>0</v>
      </c>
      <c r="R40" s="189"/>
      <c r="S40" s="195" t="str">
        <f t="shared" si="12"/>
        <v/>
      </c>
      <c r="T40" s="189"/>
      <c r="U40" s="189"/>
      <c r="V40" s="189"/>
      <c r="W40" s="189"/>
      <c r="X40" s="95"/>
      <c r="Y40" s="95"/>
      <c r="Z40" s="95"/>
      <c r="AA40" s="186">
        <f t="shared" si="8"/>
        <v>0</v>
      </c>
      <c r="AB40" s="173">
        <f t="shared" si="13"/>
        <v>0</v>
      </c>
      <c r="AC40" s="76"/>
      <c r="AD40" s="76"/>
      <c r="AE40" s="76"/>
      <c r="AF40" s="76"/>
      <c r="AG40" s="76"/>
      <c r="AH40" s="76"/>
      <c r="AI40" s="76"/>
    </row>
    <row r="41" spans="1:35" ht="17" thickTop="1">
      <c r="A41" s="1"/>
      <c r="B41" s="47">
        <f t="shared" ref="B41:B47" si="41">IF(B$3&lt;C41,0,C41)</f>
        <v>45467</v>
      </c>
      <c r="C41" s="31">
        <f>C38+1</f>
        <v>45467</v>
      </c>
      <c r="D41" s="18">
        <f t="shared" ca="1" si="1"/>
        <v>-176</v>
      </c>
      <c r="E41" s="94" t="str">
        <f>IF(B41=0,"","Monday")</f>
        <v>Monday</v>
      </c>
      <c r="F41" s="45"/>
      <c r="G41" s="46"/>
      <c r="H41" s="46"/>
      <c r="I41" s="151"/>
      <c r="J41" s="101"/>
      <c r="K41" s="152" t="str">
        <f t="shared" ref="K41:K47" si="42">IF(R41=0,"",IF(L41="","",J41))</f>
        <v/>
      </c>
      <c r="L41" s="101"/>
      <c r="M41" s="46" t="str">
        <f>IF(R41=0,"",IF(J41="","",L41))</f>
        <v/>
      </c>
      <c r="N41" s="301"/>
      <c r="O41" s="171">
        <f t="shared" si="3"/>
        <v>1917.7762593810312</v>
      </c>
      <c r="P41" s="172">
        <f t="shared" ref="P41:P47" si="43">H$56</f>
        <v>57530.552518762066</v>
      </c>
      <c r="Q41" s="128">
        <f t="shared" si="4"/>
        <v>57530.552518762066</v>
      </c>
      <c r="R41" s="128">
        <f>IF(R$2=3,H41+G41/1.0936133+F41/0.0006213712,IF(R$2=2,H41*1.0936133+G41+F41/0.0005681818,IF(R$2=1,H41*0.0005681818*1.0936133+G41*0.0005681818+F41,"")))</f>
        <v>0</v>
      </c>
      <c r="S41" s="195" t="str">
        <f t="shared" si="12"/>
        <v/>
      </c>
      <c r="T41" s="128"/>
      <c r="U41" s="128"/>
      <c r="V41" s="129" t="str">
        <f t="shared" ref="V41:V47" si="44">IF(L41="","",IF(R41=0,"",IF(B41=0,"",IF($R$2=3,R41/L41*60/1000,IF($R$2=2,R41/L41*60/1760,IF($R$2=1,R41/L41*60,""))))))</f>
        <v/>
      </c>
      <c r="W41" s="129" t="str">
        <f t="shared" ref="W41:W47" si="45">IF(R41=0,"",IF(L41="","",V41*L41))</f>
        <v/>
      </c>
      <c r="X41" s="171">
        <f>F41+X38</f>
        <v>0</v>
      </c>
      <c r="Y41" s="171">
        <f>G41+Y38</f>
        <v>0</v>
      </c>
      <c r="Z41" s="171">
        <f>H41+Z38</f>
        <v>0</v>
      </c>
      <c r="AA41" s="186">
        <f t="shared" si="8"/>
        <v>0</v>
      </c>
      <c r="AB41" s="173">
        <f t="shared" si="13"/>
        <v>0</v>
      </c>
      <c r="AC41" s="76"/>
      <c r="AD41" s="76"/>
      <c r="AE41" s="76"/>
      <c r="AF41" s="76"/>
      <c r="AG41" s="76"/>
      <c r="AH41" s="76"/>
      <c r="AI41" s="76"/>
    </row>
    <row r="42" spans="1:35">
      <c r="A42" s="1"/>
      <c r="B42" s="4">
        <f t="shared" si="41"/>
        <v>45468</v>
      </c>
      <c r="C42" s="29">
        <f t="shared" ref="C42:C47" si="46">C41+1</f>
        <v>45468</v>
      </c>
      <c r="D42" s="6">
        <f t="shared" ca="1" si="1"/>
        <v>-177</v>
      </c>
      <c r="E42" s="90" t="str">
        <f>IF(B42=0,"","Tuesday")</f>
        <v>Tuesday</v>
      </c>
      <c r="F42" s="45"/>
      <c r="G42" s="46"/>
      <c r="H42" s="46"/>
      <c r="I42" s="151"/>
      <c r="J42" s="46"/>
      <c r="K42" s="152" t="str">
        <f t="shared" si="42"/>
        <v/>
      </c>
      <c r="L42" s="46"/>
      <c r="M42" s="46" t="str">
        <f t="shared" ref="M42:M47" si="47">IF(R42=0,"",IF(J42="","",L42))</f>
        <v/>
      </c>
      <c r="N42" s="301"/>
      <c r="O42" s="171">
        <f t="shared" si="3"/>
        <v>1917.7762593810312</v>
      </c>
      <c r="P42" s="172">
        <f t="shared" si="43"/>
        <v>57530.552518762066</v>
      </c>
      <c r="Q42" s="128">
        <f t="shared" si="4"/>
        <v>57530.552518762066</v>
      </c>
      <c r="R42" s="128">
        <f t="shared" ref="R42:R47" si="48">IF(R$2=3,H42+G42/1.0936133+F42/0.0006213712,IF(R$2=2,H42*1.0936133+G42+F42/0.0005681818,IF(R$2=1,H42*0.0005681818*1.0936133+G42*0.0005681818+F42,"")))</f>
        <v>0</v>
      </c>
      <c r="S42" s="195" t="str">
        <f t="shared" si="12"/>
        <v/>
      </c>
      <c r="T42" s="128"/>
      <c r="U42" s="128"/>
      <c r="V42" s="129" t="str">
        <f t="shared" si="44"/>
        <v/>
      </c>
      <c r="W42" s="129" t="str">
        <f t="shared" si="45"/>
        <v/>
      </c>
      <c r="X42" s="171">
        <f t="shared" ref="X42:Z47" si="49">F42+X41</f>
        <v>0</v>
      </c>
      <c r="Y42" s="171">
        <f t="shared" si="49"/>
        <v>0</v>
      </c>
      <c r="Z42" s="171">
        <f t="shared" si="49"/>
        <v>0</v>
      </c>
      <c r="AA42" s="186">
        <f t="shared" si="8"/>
        <v>0</v>
      </c>
      <c r="AB42" s="173">
        <f t="shared" si="13"/>
        <v>0</v>
      </c>
      <c r="AC42" s="76"/>
      <c r="AD42" s="76"/>
      <c r="AE42" s="76"/>
      <c r="AF42" s="76"/>
      <c r="AG42" s="76"/>
      <c r="AH42" s="76"/>
      <c r="AI42" s="76"/>
    </row>
    <row r="43" spans="1:35">
      <c r="A43" s="1"/>
      <c r="B43" s="4">
        <f t="shared" si="41"/>
        <v>45469</v>
      </c>
      <c r="C43" s="29">
        <f t="shared" si="46"/>
        <v>45469</v>
      </c>
      <c r="D43" s="6">
        <f t="shared" ca="1" si="1"/>
        <v>-178</v>
      </c>
      <c r="E43" s="90" t="str">
        <f>IF(B43=0,"","Wednesday")</f>
        <v>Wednesday</v>
      </c>
      <c r="F43" s="45"/>
      <c r="G43" s="46"/>
      <c r="H43" s="46"/>
      <c r="I43" s="151"/>
      <c r="J43" s="46"/>
      <c r="K43" s="152" t="str">
        <f t="shared" si="42"/>
        <v/>
      </c>
      <c r="L43" s="46"/>
      <c r="M43" s="46" t="str">
        <f t="shared" si="47"/>
        <v/>
      </c>
      <c r="N43" s="301"/>
      <c r="O43" s="171">
        <f t="shared" si="3"/>
        <v>1917.7762593810312</v>
      </c>
      <c r="P43" s="172">
        <f t="shared" si="43"/>
        <v>57530.552518762066</v>
      </c>
      <c r="Q43" s="128">
        <f t="shared" si="4"/>
        <v>57530.552518762066</v>
      </c>
      <c r="R43" s="128">
        <f t="shared" si="48"/>
        <v>0</v>
      </c>
      <c r="S43" s="195" t="str">
        <f t="shared" si="12"/>
        <v/>
      </c>
      <c r="T43" s="128"/>
      <c r="U43" s="128"/>
      <c r="V43" s="129" t="str">
        <f t="shared" si="44"/>
        <v/>
      </c>
      <c r="W43" s="129" t="str">
        <f t="shared" si="45"/>
        <v/>
      </c>
      <c r="X43" s="171">
        <f t="shared" si="49"/>
        <v>0</v>
      </c>
      <c r="Y43" s="171">
        <f t="shared" si="49"/>
        <v>0</v>
      </c>
      <c r="Z43" s="171">
        <f t="shared" si="49"/>
        <v>0</v>
      </c>
      <c r="AA43" s="186">
        <f t="shared" si="8"/>
        <v>0</v>
      </c>
      <c r="AB43" s="173">
        <f t="shared" si="13"/>
        <v>0</v>
      </c>
      <c r="AC43" s="76"/>
      <c r="AD43" s="76"/>
      <c r="AE43" s="76"/>
      <c r="AF43" s="76"/>
      <c r="AG43" s="76"/>
      <c r="AH43" s="76"/>
      <c r="AI43" s="76"/>
    </row>
    <row r="44" spans="1:35">
      <c r="A44" s="1"/>
      <c r="B44" s="4">
        <f t="shared" si="41"/>
        <v>45470</v>
      </c>
      <c r="C44" s="29">
        <f t="shared" si="46"/>
        <v>45470</v>
      </c>
      <c r="D44" s="6">
        <f t="shared" ca="1" si="1"/>
        <v>-179</v>
      </c>
      <c r="E44" s="90" t="str">
        <f>IF(B44=0,"","Thursday")</f>
        <v>Thursday</v>
      </c>
      <c r="F44" s="45"/>
      <c r="G44" s="46"/>
      <c r="H44" s="46"/>
      <c r="I44" s="151"/>
      <c r="J44" s="46"/>
      <c r="K44" s="152" t="str">
        <f t="shared" si="42"/>
        <v/>
      </c>
      <c r="L44" s="46"/>
      <c r="M44" s="46" t="str">
        <f t="shared" si="47"/>
        <v/>
      </c>
      <c r="N44" s="301"/>
      <c r="O44" s="171">
        <f t="shared" si="3"/>
        <v>1917.7762593810312</v>
      </c>
      <c r="P44" s="172">
        <f t="shared" si="43"/>
        <v>57530.552518762066</v>
      </c>
      <c r="Q44" s="128">
        <f t="shared" si="4"/>
        <v>57530.552518762066</v>
      </c>
      <c r="R44" s="128">
        <f t="shared" si="48"/>
        <v>0</v>
      </c>
      <c r="S44" s="195" t="str">
        <f t="shared" si="12"/>
        <v/>
      </c>
      <c r="T44" s="128"/>
      <c r="U44" s="128"/>
      <c r="V44" s="129" t="str">
        <f t="shared" si="44"/>
        <v/>
      </c>
      <c r="W44" s="129" t="str">
        <f t="shared" si="45"/>
        <v/>
      </c>
      <c r="X44" s="171">
        <f t="shared" si="49"/>
        <v>0</v>
      </c>
      <c r="Y44" s="171">
        <f t="shared" si="49"/>
        <v>0</v>
      </c>
      <c r="Z44" s="171">
        <f t="shared" si="49"/>
        <v>0</v>
      </c>
      <c r="AA44" s="186">
        <f t="shared" si="8"/>
        <v>0</v>
      </c>
      <c r="AB44" s="173">
        <f t="shared" si="13"/>
        <v>0</v>
      </c>
      <c r="AC44" s="76"/>
      <c r="AD44" s="76"/>
      <c r="AE44" s="76"/>
      <c r="AF44" s="76"/>
      <c r="AG44" s="76"/>
      <c r="AH44" s="76"/>
      <c r="AI44" s="76"/>
    </row>
    <row r="45" spans="1:35">
      <c r="A45" s="1"/>
      <c r="B45" s="4">
        <f t="shared" si="41"/>
        <v>45471</v>
      </c>
      <c r="C45" s="29">
        <f t="shared" si="46"/>
        <v>45471</v>
      </c>
      <c r="D45" s="6">
        <f t="shared" ca="1" si="1"/>
        <v>-180</v>
      </c>
      <c r="E45" s="90" t="str">
        <f>IF(B45=0,"","Friday")</f>
        <v>Friday</v>
      </c>
      <c r="F45" s="45"/>
      <c r="G45" s="46"/>
      <c r="H45" s="46"/>
      <c r="I45" s="151"/>
      <c r="J45" s="46"/>
      <c r="K45" s="152" t="str">
        <f t="shared" si="42"/>
        <v/>
      </c>
      <c r="L45" s="46"/>
      <c r="M45" s="46" t="str">
        <f t="shared" si="47"/>
        <v/>
      </c>
      <c r="N45" s="301"/>
      <c r="O45" s="171">
        <f t="shared" si="3"/>
        <v>1917.7762593810312</v>
      </c>
      <c r="P45" s="172">
        <f t="shared" si="43"/>
        <v>57530.552518762066</v>
      </c>
      <c r="Q45" s="128">
        <f t="shared" si="4"/>
        <v>57530.552518762066</v>
      </c>
      <c r="R45" s="128">
        <f t="shared" si="48"/>
        <v>0</v>
      </c>
      <c r="S45" s="195" t="str">
        <f t="shared" si="12"/>
        <v/>
      </c>
      <c r="T45" s="128"/>
      <c r="U45" s="128"/>
      <c r="V45" s="129" t="str">
        <f t="shared" si="44"/>
        <v/>
      </c>
      <c r="W45" s="129" t="str">
        <f t="shared" si="45"/>
        <v/>
      </c>
      <c r="X45" s="171">
        <f t="shared" si="49"/>
        <v>0</v>
      </c>
      <c r="Y45" s="171">
        <f t="shared" si="49"/>
        <v>0</v>
      </c>
      <c r="Z45" s="171">
        <f t="shared" si="49"/>
        <v>0</v>
      </c>
      <c r="AA45" s="186">
        <f t="shared" si="8"/>
        <v>0</v>
      </c>
      <c r="AB45" s="173">
        <f t="shared" si="13"/>
        <v>0</v>
      </c>
      <c r="AC45" s="76"/>
      <c r="AD45" s="76"/>
      <c r="AE45" s="76"/>
      <c r="AF45" s="76"/>
      <c r="AG45" s="76"/>
      <c r="AH45" s="76"/>
      <c r="AI45" s="76"/>
    </row>
    <row r="46" spans="1:35">
      <c r="A46" s="1"/>
      <c r="B46" s="4">
        <f t="shared" si="41"/>
        <v>45472</v>
      </c>
      <c r="C46" s="29">
        <f t="shared" si="46"/>
        <v>45472</v>
      </c>
      <c r="D46" s="6">
        <f t="shared" ca="1" si="1"/>
        <v>-181</v>
      </c>
      <c r="E46" s="90" t="str">
        <f>IF(B46=0,"","Saturday")</f>
        <v>Saturday</v>
      </c>
      <c r="F46" s="45"/>
      <c r="G46" s="46"/>
      <c r="H46" s="46"/>
      <c r="I46" s="151"/>
      <c r="J46" s="46"/>
      <c r="K46" s="152" t="str">
        <f t="shared" si="42"/>
        <v/>
      </c>
      <c r="L46" s="46"/>
      <c r="M46" s="46" t="str">
        <f t="shared" si="47"/>
        <v/>
      </c>
      <c r="N46" s="301"/>
      <c r="O46" s="171">
        <f t="shared" si="3"/>
        <v>1917.7762593810312</v>
      </c>
      <c r="P46" s="172">
        <f t="shared" si="43"/>
        <v>57530.552518762066</v>
      </c>
      <c r="Q46" s="128">
        <f t="shared" si="4"/>
        <v>57530.552518762066</v>
      </c>
      <c r="R46" s="128">
        <f t="shared" si="48"/>
        <v>0</v>
      </c>
      <c r="S46" s="195" t="str">
        <f t="shared" si="12"/>
        <v/>
      </c>
      <c r="T46" s="128"/>
      <c r="U46" s="128"/>
      <c r="V46" s="129" t="str">
        <f t="shared" si="44"/>
        <v/>
      </c>
      <c r="W46" s="129" t="str">
        <f t="shared" si="45"/>
        <v/>
      </c>
      <c r="X46" s="171">
        <f t="shared" si="49"/>
        <v>0</v>
      </c>
      <c r="Y46" s="171">
        <f t="shared" si="49"/>
        <v>0</v>
      </c>
      <c r="Z46" s="171">
        <f t="shared" si="49"/>
        <v>0</v>
      </c>
      <c r="AA46" s="186">
        <f t="shared" si="8"/>
        <v>0</v>
      </c>
      <c r="AB46" s="173">
        <f t="shared" si="13"/>
        <v>0</v>
      </c>
      <c r="AC46" s="76"/>
      <c r="AD46" s="76"/>
      <c r="AE46" s="76"/>
      <c r="AF46" s="76"/>
      <c r="AG46" s="76"/>
      <c r="AH46" s="76"/>
      <c r="AI46" s="76"/>
    </row>
    <row r="47" spans="1:35" ht="17" thickBot="1">
      <c r="A47" s="1"/>
      <c r="B47" s="43">
        <f t="shared" si="41"/>
        <v>45473</v>
      </c>
      <c r="C47" s="32">
        <f t="shared" si="46"/>
        <v>45473</v>
      </c>
      <c r="D47" s="44">
        <f t="shared" ca="1" si="1"/>
        <v>-182</v>
      </c>
      <c r="E47" s="93" t="str">
        <f>IF(B47=0,"","Sunday")</f>
        <v>Sunday</v>
      </c>
      <c r="F47" s="45"/>
      <c r="G47" s="46"/>
      <c r="H47" s="46"/>
      <c r="I47" s="151"/>
      <c r="J47" s="46"/>
      <c r="K47" s="152" t="str">
        <f t="shared" si="42"/>
        <v/>
      </c>
      <c r="L47" s="46"/>
      <c r="M47" s="46" t="str">
        <f t="shared" si="47"/>
        <v/>
      </c>
      <c r="N47" s="302"/>
      <c r="O47" s="171">
        <f t="shared" si="3"/>
        <v>1917.7762593810312</v>
      </c>
      <c r="P47" s="172">
        <f t="shared" si="43"/>
        <v>57530.552518762066</v>
      </c>
      <c r="Q47" s="128">
        <f t="shared" si="4"/>
        <v>57530.552518762066</v>
      </c>
      <c r="R47" s="128">
        <f t="shared" si="48"/>
        <v>0</v>
      </c>
      <c r="S47" s="195" t="str">
        <f t="shared" si="12"/>
        <v/>
      </c>
      <c r="T47" s="128"/>
      <c r="U47" s="128"/>
      <c r="V47" s="129" t="str">
        <f t="shared" si="44"/>
        <v/>
      </c>
      <c r="W47" s="129" t="str">
        <f t="shared" si="45"/>
        <v/>
      </c>
      <c r="X47" s="171">
        <f t="shared" si="49"/>
        <v>0</v>
      </c>
      <c r="Y47" s="171">
        <f t="shared" si="49"/>
        <v>0</v>
      </c>
      <c r="Z47" s="171">
        <f t="shared" si="49"/>
        <v>0</v>
      </c>
      <c r="AA47" s="186">
        <f t="shared" si="8"/>
        <v>0</v>
      </c>
      <c r="AB47" s="173">
        <f t="shared" si="13"/>
        <v>0</v>
      </c>
      <c r="AC47" s="76"/>
      <c r="AD47" s="76"/>
      <c r="AE47" s="76"/>
      <c r="AF47" s="76"/>
      <c r="AG47" s="76"/>
      <c r="AH47" s="76"/>
      <c r="AI47" s="76"/>
    </row>
    <row r="48" spans="1:35" ht="17" customHeight="1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71" t="str">
        <f t="shared" si="3"/>
        <v/>
      </c>
      <c r="P48" s="79"/>
      <c r="Q48" s="128">
        <f t="shared" si="4"/>
        <v>0</v>
      </c>
      <c r="R48" s="188"/>
      <c r="S48" s="195" t="str">
        <f t="shared" si="12"/>
        <v/>
      </c>
      <c r="T48" s="188"/>
      <c r="U48" s="188"/>
      <c r="V48" s="188"/>
      <c r="W48" s="188"/>
      <c r="X48" s="171"/>
      <c r="Y48" s="171" t="str">
        <f>IF(A48=0,"",G48+Y36)</f>
        <v/>
      </c>
      <c r="Z48" s="171" t="str">
        <f>IF(B48=0,"",H48+Z36)</f>
        <v/>
      </c>
      <c r="AA48" s="186"/>
      <c r="AB48" s="173">
        <f t="shared" si="13"/>
        <v>0</v>
      </c>
      <c r="AC48" s="76"/>
      <c r="AD48" s="76"/>
      <c r="AE48" s="76"/>
      <c r="AF48" s="76"/>
      <c r="AG48" s="76"/>
      <c r="AH48" s="76"/>
      <c r="AI48" s="76"/>
    </row>
    <row r="49" spans="1:35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8.3412713758065813</v>
      </c>
      <c r="G49" s="53">
        <f>H49*1.0936113</f>
        <v>14680.6380912</v>
      </c>
      <c r="H49" s="5">
        <f>INT(SUM($O41:$O47))</f>
        <v>13424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71" t="str">
        <f t="shared" si="3"/>
        <v/>
      </c>
      <c r="P49" s="95"/>
      <c r="Q49" s="128">
        <f t="shared" si="4"/>
        <v>0</v>
      </c>
      <c r="R49" s="189"/>
      <c r="S49" s="195" t="str">
        <f t="shared" si="12"/>
        <v/>
      </c>
      <c r="T49" s="189"/>
      <c r="U49" s="189"/>
      <c r="V49" s="189"/>
      <c r="W49" s="189"/>
      <c r="X49" s="171"/>
      <c r="Y49" s="171" t="str">
        <f>IF(A49=0,"",G49+Y37)</f>
        <v/>
      </c>
      <c r="Z49" s="171" t="str">
        <f>IF(B49=0,"",H49+Z37)</f>
        <v/>
      </c>
      <c r="AA49" s="186"/>
      <c r="AB49" s="173">
        <f t="shared" si="13"/>
        <v>0</v>
      </c>
      <c r="AC49" s="76"/>
      <c r="AD49" s="76"/>
      <c r="AE49" s="76"/>
      <c r="AF49" s="76"/>
      <c r="AG49" s="76"/>
      <c r="AH49" s="76"/>
      <c r="AI49" s="76"/>
    </row>
    <row r="50" spans="1:35" ht="17" thickTop="1">
      <c r="A50" s="1"/>
      <c r="B50" s="47">
        <f>IF(B$3&lt;C50,0,C50)</f>
        <v>0</v>
      </c>
      <c r="C50" s="31">
        <f>C47+1</f>
        <v>45474</v>
      </c>
      <c r="D50" s="18">
        <f t="shared" ca="1" si="1"/>
        <v>-183</v>
      </c>
      <c r="E50" s="94" t="str">
        <f>IF(B50=0,"","Monday")</f>
        <v/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71" t="str">
        <f t="shared" si="3"/>
        <v/>
      </c>
      <c r="P50" s="172">
        <f>H$56</f>
        <v>57530.552518762066</v>
      </c>
      <c r="Q50" s="128">
        <f t="shared" si="4"/>
        <v>57530.552518762066</v>
      </c>
      <c r="R50" s="128">
        <f>IF(R$2=3,H50+G50/1.0936133+F50/0.0006213712,IF(R$2=2,H50*1.0936133+G50+F50/0.0005681818,IF(R$2=1,H50*0.0005681818*1.0936133+G50*0.0005681818+F50,"")))</f>
        <v>0</v>
      </c>
      <c r="S50" s="195" t="str">
        <f t="shared" si="12"/>
        <v/>
      </c>
      <c r="T50" s="128"/>
      <c r="U50" s="128"/>
      <c r="V50" s="129" t="str">
        <f>IF(L50="","",IF(R50=0,"",IF(B50=0,"",IF($R$2=3,R50/L50*60/1000,IF($R$2=2,R50/L50*60/1760,IF($R$2=1,R50/L50*60,""))))))</f>
        <v/>
      </c>
      <c r="W50" s="129" t="str">
        <f>IF(R50=0,"",IF(L50="","",V50*L50))</f>
        <v/>
      </c>
      <c r="X50" s="171">
        <f>F50+X47</f>
        <v>0</v>
      </c>
      <c r="Y50" s="171">
        <f>G50+Y47</f>
        <v>0</v>
      </c>
      <c r="Z50" s="171">
        <f>H50+Z47</f>
        <v>0</v>
      </c>
      <c r="AA50" s="186">
        <f t="shared" si="8"/>
        <v>0</v>
      </c>
      <c r="AB50" s="173">
        <f t="shared" si="13"/>
        <v>0</v>
      </c>
      <c r="AC50" s="76"/>
      <c r="AD50" s="76"/>
      <c r="AE50" s="76"/>
      <c r="AF50" s="76"/>
      <c r="AG50" s="76"/>
      <c r="AH50" s="76"/>
      <c r="AI50" s="76"/>
    </row>
    <row r="51" spans="1:35" ht="17" thickBot="1">
      <c r="A51" s="1"/>
      <c r="B51" s="4">
        <f>IF(B$3&lt;C51,0,C51)</f>
        <v>0</v>
      </c>
      <c r="C51" s="29">
        <f>C50+1</f>
        <v>45475</v>
      </c>
      <c r="D51" s="6">
        <f t="shared" ca="1" si="1"/>
        <v>-184</v>
      </c>
      <c r="E51" s="90" t="str">
        <f>IF(B51=0,"","Tuesday")</f>
        <v/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71" t="str">
        <f t="shared" si="3"/>
        <v/>
      </c>
      <c r="P51" s="172">
        <f>H$56</f>
        <v>57530.552518762066</v>
      </c>
      <c r="Q51" s="128">
        <f t="shared" si="4"/>
        <v>57530.552518762066</v>
      </c>
      <c r="R51" s="128">
        <f>IF(R$2=3,H51+G51/1.0936133+F51/0.0006213712,IF(R$2=2,H51*1.0936133+G51+F51/0.0005681818,IF(R$2=1,H51*0.0005681818*1.0936133+G51*0.0005681818+F51,"")))</f>
        <v>0</v>
      </c>
      <c r="S51" s="195" t="str">
        <f t="shared" si="12"/>
        <v/>
      </c>
      <c r="T51" s="128"/>
      <c r="U51" s="128"/>
      <c r="V51" s="129" t="str">
        <f>IF(L51="","",IF(R51=0,"",IF(B51=0,"",IF($R$2=3,R51/L51*60/1000,IF($R$2=2,R51/L51*60/1760,IF($R$2=1,R51/L51*60,""))))))</f>
        <v/>
      </c>
      <c r="W51" s="129" t="str">
        <f>IF(R51=0,"",IF(L51="","",V51*L51))</f>
        <v/>
      </c>
      <c r="X51" s="171">
        <f>F51+X50</f>
        <v>0</v>
      </c>
      <c r="Y51" s="171">
        <f>G51+Y50</f>
        <v>0</v>
      </c>
      <c r="Z51" s="171">
        <f>H51+Z50</f>
        <v>0</v>
      </c>
      <c r="AA51" s="186">
        <f t="shared" si="8"/>
        <v>0</v>
      </c>
      <c r="AB51" s="173">
        <f t="shared" si="13"/>
        <v>0</v>
      </c>
      <c r="AC51" s="76"/>
      <c r="AD51" s="76"/>
      <c r="AE51" s="76"/>
      <c r="AF51" s="76"/>
      <c r="AG51" s="76"/>
      <c r="AH51" s="76"/>
      <c r="AI51" s="76"/>
    </row>
    <row r="52" spans="1:35" ht="18" thickTop="1" thickBot="1">
      <c r="A52" s="25"/>
      <c r="B52" s="12"/>
      <c r="C52" s="33"/>
      <c r="D52" s="50"/>
      <c r="E52" s="89" t="s">
        <v>65</v>
      </c>
      <c r="F52" s="49">
        <f ca="1">G52*0.000568181818</f>
        <v>-6.2137005661934355E-59</v>
      </c>
      <c r="G52" s="15">
        <f ca="1">H52*1.0936113</f>
        <v>-1.0936113000000001E-55</v>
      </c>
      <c r="H52" s="102">
        <f ca="1">IF(SUM(B50:B51)=0,-1E-55,IF(TODAY()&gt;=B50,(AA51-AA47)*1000,-2E-55))</f>
        <v>-9.9999999999999999E-56</v>
      </c>
      <c r="I52" s="250"/>
      <c r="J52" s="495" t="s">
        <v>93</v>
      </c>
      <c r="K52" s="496"/>
      <c r="L52" s="496"/>
      <c r="M52" s="253"/>
      <c r="N52" s="254" t="str">
        <f>IF(R$2=1,"Distance (miles)",IF(R$2=2,"Distance (yds)",IF(R$2=3,"Distance (km)","????")))</f>
        <v>Distance (km)</v>
      </c>
      <c r="O52" s="171"/>
      <c r="P52" s="95" t="s">
        <v>1</v>
      </c>
      <c r="Q52" s="95" t="s">
        <v>2</v>
      </c>
      <c r="R52" s="95" t="s">
        <v>3</v>
      </c>
      <c r="S52" s="95" t="s">
        <v>4</v>
      </c>
      <c r="T52" s="95" t="s">
        <v>5</v>
      </c>
      <c r="U52" s="95" t="s">
        <v>6</v>
      </c>
      <c r="V52" s="95" t="s">
        <v>7</v>
      </c>
      <c r="W52" s="171"/>
      <c r="X52" s="171"/>
      <c r="Y52" s="171"/>
      <c r="Z52" s="186"/>
      <c r="AA52" s="173"/>
      <c r="AB52" s="79"/>
      <c r="AC52" s="76"/>
      <c r="AD52" s="76"/>
      <c r="AE52" s="76"/>
      <c r="AF52" s="76"/>
      <c r="AG52" s="76"/>
      <c r="AH52" s="76"/>
      <c r="AI52" s="76"/>
    </row>
    <row r="53" spans="1:35" ht="17" thickBot="1">
      <c r="A53" s="24"/>
      <c r="B53" s="13"/>
      <c r="C53" s="30"/>
      <c r="D53" s="51"/>
      <c r="E53" s="92" t="s">
        <v>27</v>
      </c>
      <c r="F53" s="52">
        <f>G53*0.0005681818</f>
        <v>-6.2137003693434006E-59</v>
      </c>
      <c r="G53" s="53">
        <f>H53*1.0936113</f>
        <v>-1.0936113000000001E-55</v>
      </c>
      <c r="H53" s="104">
        <f>IF(SUM($O50:$O51)=0,-1E-55,SUM($O50:$O51))</f>
        <v>-9.9999999999999999E-56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190" t="s">
        <v>48</v>
      </c>
      <c r="P53" s="95">
        <f t="shared" ref="P53:V53" si="50">COUNTIFS($E$5:$E$51,P52)</f>
        <v>4</v>
      </c>
      <c r="Q53" s="95">
        <f t="shared" si="50"/>
        <v>4</v>
      </c>
      <c r="R53" s="95">
        <f t="shared" si="50"/>
        <v>4</v>
      </c>
      <c r="S53" s="95">
        <f t="shared" si="50"/>
        <v>4</v>
      </c>
      <c r="T53" s="95">
        <f t="shared" si="50"/>
        <v>4</v>
      </c>
      <c r="U53" s="95">
        <f t="shared" si="50"/>
        <v>5</v>
      </c>
      <c r="V53" s="95">
        <f t="shared" si="50"/>
        <v>5</v>
      </c>
      <c r="W53" s="171"/>
      <c r="X53" s="171"/>
      <c r="Y53" s="171"/>
      <c r="Z53" s="186"/>
      <c r="AA53" s="173"/>
      <c r="AB53" s="79"/>
      <c r="AC53" s="76"/>
      <c r="AD53" s="76"/>
      <c r="AE53" s="76"/>
      <c r="AF53" s="76"/>
      <c r="AG53" s="76"/>
      <c r="AH53" s="76"/>
      <c r="AI53" s="76"/>
    </row>
    <row r="54" spans="1:35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1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190" t="s">
        <v>47</v>
      </c>
      <c r="P54" s="95">
        <f t="shared" ref="P54:V54" ca="1" si="52">COUNTIFS($D$5:$D$51,"&gt;-1",$E$5:$E$51,P52)</f>
        <v>0</v>
      </c>
      <c r="Q54" s="95">
        <f t="shared" ca="1" si="52"/>
        <v>0</v>
      </c>
      <c r="R54" s="95">
        <f t="shared" ca="1" si="52"/>
        <v>0</v>
      </c>
      <c r="S54" s="95">
        <f t="shared" ca="1" si="52"/>
        <v>0</v>
      </c>
      <c r="T54" s="95">
        <f t="shared" ca="1" si="52"/>
        <v>0</v>
      </c>
      <c r="U54" s="95">
        <f t="shared" ca="1" si="52"/>
        <v>0</v>
      </c>
      <c r="V54" s="95">
        <f t="shared" ca="1" si="52"/>
        <v>0</v>
      </c>
      <c r="W54" s="171"/>
      <c r="X54" s="171"/>
      <c r="Y54" s="171"/>
      <c r="Z54" s="186"/>
      <c r="AA54" s="173"/>
      <c r="AB54" s="79"/>
      <c r="AC54" s="76"/>
      <c r="AD54" s="76"/>
      <c r="AE54" s="76"/>
      <c r="AF54" s="76"/>
      <c r="AG54" s="76"/>
      <c r="AH54" s="76"/>
      <c r="AI54" s="76"/>
    </row>
    <row r="55" spans="1:35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1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190" t="s">
        <v>66</v>
      </c>
      <c r="P55" s="95">
        <f t="shared" ref="P55:V55" si="53">COUNTIFS($E$5:$E$51,P52,$R$5:$R$51,"&gt;0")</f>
        <v>0</v>
      </c>
      <c r="Q55" s="95">
        <f t="shared" si="53"/>
        <v>0</v>
      </c>
      <c r="R55" s="95">
        <f t="shared" si="53"/>
        <v>0</v>
      </c>
      <c r="S55" s="95">
        <f t="shared" si="53"/>
        <v>0</v>
      </c>
      <c r="T55" s="95">
        <f t="shared" si="53"/>
        <v>0</v>
      </c>
      <c r="U55" s="95">
        <f t="shared" si="53"/>
        <v>0</v>
      </c>
      <c r="V55" s="95">
        <f t="shared" si="53"/>
        <v>0</v>
      </c>
      <c r="W55" s="171"/>
      <c r="X55" s="171"/>
      <c r="Y55" s="171"/>
      <c r="Z55" s="186"/>
      <c r="AA55" s="173"/>
      <c r="AB55" s="79"/>
      <c r="AC55" s="76"/>
      <c r="AD55" s="76"/>
      <c r="AE55" s="76"/>
      <c r="AF55" s="76"/>
      <c r="AG55" s="76"/>
      <c r="AH55" s="76"/>
      <c r="AI55" s="76"/>
    </row>
    <row r="56" spans="1:35" ht="17" thickBot="1">
      <c r="A56" s="27"/>
      <c r="B56" s="35"/>
      <c r="C56" s="35"/>
      <c r="D56" s="35"/>
      <c r="E56" s="17" t="s">
        <v>41</v>
      </c>
      <c r="F56" s="37">
        <f>G56*0.000568181818</f>
        <v>35.747762675925301</v>
      </c>
      <c r="G56" s="38">
        <f>H56*1.0936113</f>
        <v>62916.062329761662</v>
      </c>
      <c r="H56" s="106">
        <f>SUM(H$53,H40,H31,H22,H49,H13)-1</f>
        <v>57530.552518762066</v>
      </c>
      <c r="I56" s="252"/>
      <c r="J56" s="257" t="str">
        <f>'MY STATS'!AI47</f>
        <v/>
      </c>
      <c r="K56" s="126" t="str">
        <f t="shared" si="51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190" t="s">
        <v>106</v>
      </c>
      <c r="P56" s="95"/>
      <c r="Q56" s="95"/>
      <c r="R56" s="95"/>
      <c r="S56" s="95"/>
      <c r="T56" s="95"/>
      <c r="U56" s="95"/>
      <c r="V56" s="95"/>
      <c r="W56" s="171"/>
      <c r="X56" s="171"/>
      <c r="Y56" s="171"/>
      <c r="Z56" s="186"/>
      <c r="AA56" s="173"/>
      <c r="AB56" s="79"/>
      <c r="AC56" s="76"/>
      <c r="AD56" s="76"/>
      <c r="AE56" s="76"/>
      <c r="AF56" s="76"/>
      <c r="AG56" s="76"/>
      <c r="AH56" s="76"/>
      <c r="AI56" s="76"/>
    </row>
    <row r="57" spans="1:35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190" t="s">
        <v>97</v>
      </c>
      <c r="P57" s="172">
        <f t="shared" ref="P57:V57" si="54">SUMIF($E$5:$E$51,P52,$S$5:$S$51)</f>
        <v>0</v>
      </c>
      <c r="Q57" s="172">
        <f t="shared" si="54"/>
        <v>0</v>
      </c>
      <c r="R57" s="172">
        <f t="shared" si="54"/>
        <v>0</v>
      </c>
      <c r="S57" s="172">
        <f t="shared" si="54"/>
        <v>0</v>
      </c>
      <c r="T57" s="172">
        <f t="shared" si="54"/>
        <v>0</v>
      </c>
      <c r="U57" s="172">
        <f t="shared" si="54"/>
        <v>0</v>
      </c>
      <c r="V57" s="172">
        <f t="shared" si="54"/>
        <v>0</v>
      </c>
      <c r="W57" s="79"/>
      <c r="X57" s="79"/>
      <c r="Y57" s="79"/>
      <c r="Z57" s="95"/>
      <c r="AA57" s="79"/>
      <c r="AB57" s="79"/>
      <c r="AC57" s="76"/>
      <c r="AD57" s="76"/>
      <c r="AE57" s="76"/>
      <c r="AF57" s="76"/>
      <c r="AG57" s="76"/>
      <c r="AH57" s="76"/>
      <c r="AI57" s="76"/>
    </row>
    <row r="58" spans="1:35" ht="18" thickTop="1" thickBot="1">
      <c r="A58" s="63">
        <f>A1</f>
        <v>6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190" t="s">
        <v>98</v>
      </c>
      <c r="P58" s="191">
        <f>IF(COUNTIFS($E$5:$E$51,P52,$L$5:$L$51,"&gt;0")=0,0,(SUMIF($E$5:$E$51,P52,$L$5:$L$51)+IF(SUMIF($E$5:$E$51,P52,$R$5:$R$51)=0,-SUMIF($E$5:$E$51,P52,$L$5:$L$51)))/60)</f>
        <v>0</v>
      </c>
      <c r="Q58" s="191">
        <f t="shared" ref="Q58:V58" si="55">IF(COUNTIFS($E$5:$E$51,Q52,$L$5:$L$51,"&gt;0")=0,0,(SUMIF($E$5:$E$51,Q52,$L$5:$L$51)+IF(SUMIF($E$5:$E$51,Q52,$R$5:$R$51)=0,-SUMIF($E$5:$E$51,Q52,$L$5:$L$51)))/60)</f>
        <v>0</v>
      </c>
      <c r="R58" s="191">
        <f t="shared" si="55"/>
        <v>0</v>
      </c>
      <c r="S58" s="191">
        <f t="shared" si="55"/>
        <v>0</v>
      </c>
      <c r="T58" s="191">
        <f t="shared" si="55"/>
        <v>0</v>
      </c>
      <c r="U58" s="191">
        <f t="shared" si="55"/>
        <v>0</v>
      </c>
      <c r="V58" s="191">
        <f t="shared" si="55"/>
        <v>0</v>
      </c>
      <c r="W58" s="79"/>
      <c r="X58" s="79"/>
      <c r="Y58" s="79"/>
      <c r="Z58" s="95"/>
      <c r="AA58" s="79"/>
      <c r="AB58" s="79"/>
      <c r="AC58" s="76"/>
      <c r="AD58" s="76"/>
      <c r="AE58" s="76"/>
      <c r="AF58" s="76"/>
      <c r="AG58" s="76"/>
      <c r="AH58" s="76"/>
      <c r="AI58" s="76"/>
    </row>
    <row r="59" spans="1:35" ht="18" thickTop="1" thickBot="1">
      <c r="A59" s="66">
        <f>A1</f>
        <v>6</v>
      </c>
      <c r="B59" s="67"/>
      <c r="C59" s="68"/>
      <c r="D59" s="59"/>
      <c r="E59" s="60" t="s">
        <v>52</v>
      </c>
      <c r="F59" s="61">
        <f>G59*0.000568181818</f>
        <v>126.80304679068888</v>
      </c>
      <c r="G59" s="62">
        <f>H59*1.0936113</f>
        <v>223173.36242302789</v>
      </c>
      <c r="H59" s="107">
        <f>VLOOKUP($A$1,'MY STATS'!B$32:K$43,10)</f>
        <v>204070.09549282078</v>
      </c>
      <c r="I59" s="251"/>
      <c r="J59" s="261" t="s">
        <v>57</v>
      </c>
      <c r="K59" s="262" t="str">
        <f t="shared" si="51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190" t="s">
        <v>88</v>
      </c>
      <c r="P59" s="167">
        <f>IFERROR(IF('MY STATS'!$A16=1,P57/P58,IF('MY STATS'!$A16=2,P57/1760/P58,IF('MY STATS'!$A16=3,P57/1000/P58,0))),0)</f>
        <v>0</v>
      </c>
      <c r="Q59" s="167">
        <f>IFERROR(IF('MY STATS'!$A16=1,Q57/Q58,IF('MY STATS'!$A16=2,Q57/1760/Q58,IF('MY STATS'!$A16=3,Q57/1000/Q58,0))),0)</f>
        <v>0</v>
      </c>
      <c r="R59" s="167">
        <f>IFERROR(IF('MY STATS'!$A16=1,R57/R58,IF('MY STATS'!$A16=2,R57/1760/R58,IF('MY STATS'!$A16=3,R57/1000/R58,0))),0)</f>
        <v>0</v>
      </c>
      <c r="S59" s="167">
        <f>IFERROR(IF('MY STATS'!$A16=1,S57/S58,IF('MY STATS'!$A16=2,S57/1760/S58,IF('MY STATS'!$A16=3,S57/1000/S58,0))),0)</f>
        <v>0</v>
      </c>
      <c r="T59" s="167">
        <f>IFERROR(IF('MY STATS'!$A16=1,T57/T58,IF('MY STATS'!$A16=2,T57/1760/T58,IF('MY STATS'!$A16=3,T57/1000/T58,0))),0)</f>
        <v>0</v>
      </c>
      <c r="U59" s="167">
        <f>IFERROR(IF('MY STATS'!$A16=1,U57/U58,IF('MY STATS'!$A16=2,U57/1760/U58,IF('MY STATS'!$A16=3,U57/1000/U58,0))),0)</f>
        <v>0</v>
      </c>
      <c r="V59" s="167">
        <f>IFERROR(IF('MY STATS'!$A16=1,V57/V58,IF('MY STATS'!$A16=2,V57/1760/V58,IF('MY STATS'!$A16=3,V57/1000/V58,0))),0)</f>
        <v>0</v>
      </c>
      <c r="W59" s="79"/>
      <c r="X59" s="79"/>
      <c r="Y59" s="79"/>
      <c r="Z59" s="95"/>
      <c r="AA59" s="79"/>
      <c r="AB59" s="79"/>
      <c r="AC59" s="76"/>
      <c r="AD59" s="76"/>
      <c r="AE59" s="76"/>
      <c r="AF59" s="76"/>
      <c r="AG59" s="76"/>
      <c r="AH59" s="76"/>
      <c r="AI59" s="76"/>
    </row>
    <row r="60" spans="1:35" ht="17" thickTop="1"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6"/>
      <c r="AD60" s="76"/>
      <c r="AE60" s="76"/>
      <c r="AF60" s="76"/>
      <c r="AG60" s="76"/>
      <c r="AH60" s="76"/>
      <c r="AI60" s="76"/>
    </row>
    <row r="61" spans="1:35"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</row>
    <row r="62" spans="1:35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</row>
    <row r="64" spans="1:35"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5:35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6"/>
      <c r="AC65" s="76"/>
      <c r="AD65" s="76"/>
      <c r="AE65" s="76"/>
      <c r="AF65" s="76"/>
      <c r="AG65" s="76"/>
      <c r="AH65" s="76"/>
      <c r="AI65" s="76"/>
    </row>
    <row r="66" spans="15:35" customFormat="1"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7"/>
      <c r="AA66" s="76"/>
      <c r="AB66" s="76"/>
      <c r="AC66" s="76"/>
      <c r="AD66" s="76"/>
      <c r="AE66" s="76"/>
      <c r="AF66" s="76"/>
      <c r="AG66" s="76"/>
      <c r="AH66" s="76"/>
      <c r="AI66" s="76"/>
    </row>
    <row r="67" spans="15:35"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76"/>
      <c r="AC67" s="76"/>
      <c r="AD67" s="76"/>
      <c r="AE67" s="76"/>
      <c r="AF67" s="76"/>
    </row>
    <row r="68" spans="15:35"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7"/>
      <c r="AB68" s="76"/>
      <c r="AC68" s="76"/>
      <c r="AD68" s="76"/>
      <c r="AE68" s="76"/>
    </row>
    <row r="69" spans="15:35"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7"/>
      <c r="AB69" s="76"/>
      <c r="AC69" s="76"/>
      <c r="AD69" s="76"/>
      <c r="AE69" s="76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10049" priority="2923" stopIfTrue="1" operator="notBetween">
      <formula>$B$2</formula>
      <formula>$B$3</formula>
    </cfRule>
  </conditionalFormatting>
  <conditionalFormatting sqref="B14:B20 B23:B29 B49:B51 B40:B47 B53 B31:B38 D3 B5:B11">
    <cfRule type="cellIs" dxfId="10048" priority="2924" operator="greaterThan">
      <formula>$E$3</formula>
    </cfRule>
    <cfRule type="cellIs" dxfId="10047" priority="2925" operator="equal">
      <formula>$E$3</formula>
    </cfRule>
    <cfRule type="cellIs" dxfId="10046" priority="2926" operator="lessThan">
      <formula>$E$3</formula>
    </cfRule>
  </conditionalFormatting>
  <conditionalFormatting sqref="F58:H58 F55:H55">
    <cfRule type="expression" dxfId="10045" priority="2921">
      <formula>$F55&gt;=$F56</formula>
    </cfRule>
  </conditionalFormatting>
  <conditionalFormatting sqref="F5:H10 F14:G20 F23:G29 F38:H38 F41:H47 F11:G11 F32:G37">
    <cfRule type="cellIs" dxfId="10044" priority="2911" stopIfTrue="1" operator="lessThan">
      <formula>0</formula>
    </cfRule>
  </conditionalFormatting>
  <conditionalFormatting sqref="C32:C38 C41:C47 C50:C51 C14:C20 C23:C29 C5:C11">
    <cfRule type="cellIs" dxfId="10043" priority="2916" stopIfTrue="1" operator="notBetween">
      <formula>$B$2</formula>
      <formula>$B$3</formula>
    </cfRule>
  </conditionalFormatting>
  <conditionalFormatting sqref="C41:C47 C50:C51 C32:C38 C14:C20 C23:C29 C5:C11">
    <cfRule type="cellIs" dxfId="10042" priority="2917" operator="greaterThan">
      <formula>$E$3</formula>
    </cfRule>
    <cfRule type="cellIs" dxfId="10041" priority="2918" operator="equal">
      <formula>$E$3</formula>
    </cfRule>
    <cfRule type="cellIs" dxfId="10040" priority="2919" operator="lessThan">
      <formula>$E$3</formula>
    </cfRule>
  </conditionalFormatting>
  <conditionalFormatting sqref="F14:G20 F23:G29 F38:H38 F41:H47 F32:G37">
    <cfRule type="expression" dxfId="10039" priority="2915">
      <formula>$C14&lt;$E$3</formula>
    </cfRule>
  </conditionalFormatting>
  <conditionalFormatting sqref="F5:H10 F14:G20 F23:G29 F38:H38 F41:H47 F11:G11 F32:G37">
    <cfRule type="expression" dxfId="10038" priority="2912">
      <formula>$C5=$E$3</formula>
    </cfRule>
    <cfRule type="expression" dxfId="10037" priority="2913">
      <formula>$C5&lt;$E$3</formula>
    </cfRule>
    <cfRule type="cellIs" dxfId="10036" priority="2914" operator="equal">
      <formula>0</formula>
    </cfRule>
    <cfRule type="expression" dxfId="10035" priority="2920">
      <formula>$C5&gt;$E$3</formula>
    </cfRule>
  </conditionalFormatting>
  <conditionalFormatting sqref="F12:G12">
    <cfRule type="expression" dxfId="10034" priority="2910">
      <formula>$F12&gt;=$F13</formula>
    </cfRule>
  </conditionalFormatting>
  <conditionalFormatting sqref="F21:G21">
    <cfRule type="expression" dxfId="10033" priority="2909">
      <formula>$F21&gt;=$F22</formula>
    </cfRule>
  </conditionalFormatting>
  <conditionalFormatting sqref="F39:H39">
    <cfRule type="expression" dxfId="10032" priority="2908">
      <formula>$F39&gt;=$F40</formula>
    </cfRule>
  </conditionalFormatting>
  <conditionalFormatting sqref="F30:G30">
    <cfRule type="expression" dxfId="10031" priority="2907">
      <formula>$F30&gt;=$F31</formula>
    </cfRule>
  </conditionalFormatting>
  <conditionalFormatting sqref="F48:H48">
    <cfRule type="expression" dxfId="10030" priority="2905" stopIfTrue="1">
      <formula>$H$48=-1E-55</formula>
    </cfRule>
    <cfRule type="expression" dxfId="10029" priority="2906">
      <formula>$F48&gt;=$F49</formula>
    </cfRule>
  </conditionalFormatting>
  <conditionalFormatting sqref="F14:G20 F23:G29 F38:H38 F41:H47 F32:G37">
    <cfRule type="expression" dxfId="10028" priority="2904">
      <formula>$C14&lt;$E$3</formula>
    </cfRule>
  </conditionalFormatting>
  <conditionalFormatting sqref="F14:G20 F5:H10 F23:G29 F38:H38 F41:H47 F11:G11 F32:G37">
    <cfRule type="expression" dxfId="10027" priority="2900">
      <formula>$C5=$E$3</formula>
    </cfRule>
    <cfRule type="expression" dxfId="10026" priority="2901">
      <formula>$C5&lt;$E$3</formula>
    </cfRule>
    <cfRule type="cellIs" dxfId="10025" priority="2902" operator="equal">
      <formula>0</formula>
    </cfRule>
    <cfRule type="expression" dxfId="10024" priority="2903">
      <formula>$C5&gt;$E$3</formula>
    </cfRule>
  </conditionalFormatting>
  <conditionalFormatting sqref="F12:G12">
    <cfRule type="expression" dxfId="10023" priority="2899">
      <formula>$F12&gt;=$F13</formula>
    </cfRule>
  </conditionalFormatting>
  <conditionalFormatting sqref="F21:G21">
    <cfRule type="expression" dxfId="10022" priority="2898">
      <formula>$F21&gt;=$F22</formula>
    </cfRule>
  </conditionalFormatting>
  <conditionalFormatting sqref="F39:H39">
    <cfRule type="expression" dxfId="10021" priority="2897">
      <formula>$F39&gt;=$F40</formula>
    </cfRule>
  </conditionalFormatting>
  <conditionalFormatting sqref="F30:G30">
    <cfRule type="expression" dxfId="10020" priority="2896">
      <formula>$F30&gt;=$F31</formula>
    </cfRule>
  </conditionalFormatting>
  <conditionalFormatting sqref="F48:H48">
    <cfRule type="expression" dxfId="10019" priority="2894" stopIfTrue="1">
      <formula>$E$41=""</formula>
    </cfRule>
    <cfRule type="expression" dxfId="10018" priority="2895">
      <formula>$F48&gt;=$F49</formula>
    </cfRule>
  </conditionalFormatting>
  <conditionalFormatting sqref="F41:H47">
    <cfRule type="expression" dxfId="10017" priority="2893">
      <formula>$E41=""</formula>
    </cfRule>
  </conditionalFormatting>
  <conditionalFormatting sqref="F47:H47">
    <cfRule type="expression" dxfId="10016" priority="2892">
      <formula>$E$46=""</formula>
    </cfRule>
  </conditionalFormatting>
  <conditionalFormatting sqref="F45:H45">
    <cfRule type="expression" dxfId="10015" priority="2891">
      <formula>$E45=""</formula>
    </cfRule>
  </conditionalFormatting>
  <conditionalFormatting sqref="F5:H10 F11:G11">
    <cfRule type="expression" dxfId="10014" priority="2890">
      <formula>$C5&lt;$E$3</formula>
    </cfRule>
  </conditionalFormatting>
  <conditionalFormatting sqref="F5:H10 F11:G11">
    <cfRule type="expression" dxfId="10013" priority="2889">
      <formula>$E5=""</formula>
    </cfRule>
  </conditionalFormatting>
  <conditionalFormatting sqref="F5:H10 F11:G11">
    <cfRule type="expression" dxfId="10012" priority="2885">
      <formula>$C5=$E$3</formula>
    </cfRule>
    <cfRule type="expression" dxfId="10011" priority="2886">
      <formula>$C5&lt;$E$3</formula>
    </cfRule>
    <cfRule type="cellIs" dxfId="10010" priority="2887" operator="equal">
      <formula>0</formula>
    </cfRule>
    <cfRule type="expression" dxfId="10009" priority="2888">
      <formula>$C5&gt;$E$3</formula>
    </cfRule>
  </conditionalFormatting>
  <conditionalFormatting sqref="F5:H10 F11:G11">
    <cfRule type="expression" dxfId="10008" priority="2884">
      <formula>$C5&lt;$E$3</formula>
    </cfRule>
  </conditionalFormatting>
  <conditionalFormatting sqref="F5:H10 F11:G11">
    <cfRule type="expression" dxfId="10007" priority="2883">
      <formula>$E5=""</formula>
    </cfRule>
  </conditionalFormatting>
  <conditionalFormatting sqref="F14:G20">
    <cfRule type="expression" dxfId="10006" priority="2882">
      <formula>$C14&lt;$E$3</formula>
    </cfRule>
  </conditionalFormatting>
  <conditionalFormatting sqref="F14:G20">
    <cfRule type="expression" dxfId="10005" priority="2878">
      <formula>$C14=$E$3</formula>
    </cfRule>
    <cfRule type="expression" dxfId="10004" priority="2879">
      <formula>$C14&lt;$E$3</formula>
    </cfRule>
    <cfRule type="cellIs" dxfId="10003" priority="2880" operator="equal">
      <formula>0</formula>
    </cfRule>
    <cfRule type="expression" dxfId="10002" priority="2881">
      <formula>$C14&gt;$E$3</formula>
    </cfRule>
  </conditionalFormatting>
  <conditionalFormatting sqref="F5:H10 F11:G11">
    <cfRule type="expression" dxfId="10001" priority="2877">
      <formula>$C5&lt;$E$3</formula>
    </cfRule>
  </conditionalFormatting>
  <conditionalFormatting sqref="F5:H10 F11:G11">
    <cfRule type="expression" dxfId="10000" priority="2873">
      <formula>$C5=$E$3</formula>
    </cfRule>
    <cfRule type="expression" dxfId="9999" priority="2874">
      <formula>$C5&lt;$E$3</formula>
    </cfRule>
    <cfRule type="cellIs" dxfId="9998" priority="2875" operator="equal">
      <formula>0</formula>
    </cfRule>
    <cfRule type="expression" dxfId="9997" priority="2876">
      <formula>$C5&gt;$E$3</formula>
    </cfRule>
  </conditionalFormatting>
  <conditionalFormatting sqref="F5:H10 F11:G11">
    <cfRule type="expression" dxfId="9996" priority="2872">
      <formula>$E5=""</formula>
    </cfRule>
  </conditionalFormatting>
  <conditionalFormatting sqref="F5:H10 F11:G11">
    <cfRule type="expression" dxfId="9995" priority="2871">
      <formula>$C5&lt;$E$3</formula>
    </cfRule>
  </conditionalFormatting>
  <conditionalFormatting sqref="F5:H10 F11:G11">
    <cfRule type="expression" dxfId="9994" priority="2870">
      <formula>$E5=""</formula>
    </cfRule>
  </conditionalFormatting>
  <conditionalFormatting sqref="F5:H10 F11:G11">
    <cfRule type="expression" dxfId="9993" priority="2869">
      <formula>$E5=""</formula>
    </cfRule>
  </conditionalFormatting>
  <conditionalFormatting sqref="F5:H10 F11:G11">
    <cfRule type="expression" dxfId="9992" priority="2868">
      <formula>$C5&lt;$E$3</formula>
    </cfRule>
  </conditionalFormatting>
  <conditionalFormatting sqref="F5:H10 F11:G11">
    <cfRule type="expression" dxfId="9991" priority="2867">
      <formula>$E5=""</formula>
    </cfRule>
  </conditionalFormatting>
  <conditionalFormatting sqref="F5:H10 F11:G11">
    <cfRule type="expression" dxfId="9990" priority="2866">
      <formula>$C5&lt;$E$3</formula>
    </cfRule>
  </conditionalFormatting>
  <conditionalFormatting sqref="F5:H10 F11:G11">
    <cfRule type="expression" dxfId="9989" priority="2865">
      <formula>$E5=""</formula>
    </cfRule>
  </conditionalFormatting>
  <conditionalFormatting sqref="F5:H10 F11:G11">
    <cfRule type="expression" dxfId="9988" priority="2864">
      <formula>$C5&lt;$E$3</formula>
    </cfRule>
  </conditionalFormatting>
  <conditionalFormatting sqref="F5:H10 F11:G11">
    <cfRule type="expression" dxfId="9987" priority="2863">
      <formula>$E5=""</formula>
    </cfRule>
  </conditionalFormatting>
  <conditionalFormatting sqref="F14:G20">
    <cfRule type="expression" dxfId="9986" priority="2862">
      <formula>$C14&lt;$E$3</formula>
    </cfRule>
  </conditionalFormatting>
  <conditionalFormatting sqref="F14:G20">
    <cfRule type="expression" dxfId="9985" priority="2858">
      <formula>$C14=$E$3</formula>
    </cfRule>
    <cfRule type="expression" dxfId="9984" priority="2859">
      <formula>$C14&lt;$E$3</formula>
    </cfRule>
    <cfRule type="cellIs" dxfId="9983" priority="2860" operator="equal">
      <formula>0</formula>
    </cfRule>
    <cfRule type="expression" dxfId="9982" priority="2861">
      <formula>$C14&gt;$E$3</formula>
    </cfRule>
  </conditionalFormatting>
  <conditionalFormatting sqref="F14:G20">
    <cfRule type="expression" dxfId="9981" priority="2857">
      <formula>$E14=""</formula>
    </cfRule>
  </conditionalFormatting>
  <conditionalFormatting sqref="F14:G20">
    <cfRule type="expression" dxfId="9980" priority="2856">
      <formula>$C14&lt;$E$3</formula>
    </cfRule>
  </conditionalFormatting>
  <conditionalFormatting sqref="F14:G20">
    <cfRule type="expression" dxfId="9979" priority="2855">
      <formula>$E14=""</formula>
    </cfRule>
  </conditionalFormatting>
  <conditionalFormatting sqref="F14:G20">
    <cfRule type="expression" dxfId="9978" priority="2854">
      <formula>$E14=""</formula>
    </cfRule>
  </conditionalFormatting>
  <conditionalFormatting sqref="F14:G20">
    <cfRule type="expression" dxfId="9977" priority="2853">
      <formula>$C14&lt;$E$3</formula>
    </cfRule>
  </conditionalFormatting>
  <conditionalFormatting sqref="F14:G20">
    <cfRule type="expression" dxfId="9976" priority="2852">
      <formula>$E14=""</formula>
    </cfRule>
  </conditionalFormatting>
  <conditionalFormatting sqref="F14:G20">
    <cfRule type="expression" dxfId="9975" priority="2851">
      <formula>$C14&lt;$E$3</formula>
    </cfRule>
  </conditionalFormatting>
  <conditionalFormatting sqref="F14:G20">
    <cfRule type="expression" dxfId="9974" priority="2850">
      <formula>$E14=""</formula>
    </cfRule>
  </conditionalFormatting>
  <conditionalFormatting sqref="F14:G20">
    <cfRule type="expression" dxfId="9973" priority="2849">
      <formula>$C14&lt;$E$3</formula>
    </cfRule>
  </conditionalFormatting>
  <conditionalFormatting sqref="F14:G20">
    <cfRule type="expression" dxfId="9972" priority="2848">
      <formula>$E14=""</formula>
    </cfRule>
  </conditionalFormatting>
  <conditionalFormatting sqref="F23:G29">
    <cfRule type="expression" dxfId="9971" priority="2847">
      <formula>$C23&lt;$E$3</formula>
    </cfRule>
  </conditionalFormatting>
  <conditionalFormatting sqref="F23:G29">
    <cfRule type="expression" dxfId="9970" priority="2843">
      <formula>$C23=$E$3</formula>
    </cfRule>
    <cfRule type="expression" dxfId="9969" priority="2844">
      <formula>$C23&lt;$E$3</formula>
    </cfRule>
    <cfRule type="cellIs" dxfId="9968" priority="2845" operator="equal">
      <formula>0</formula>
    </cfRule>
    <cfRule type="expression" dxfId="9967" priority="2846">
      <formula>$C23&gt;$E$3</formula>
    </cfRule>
  </conditionalFormatting>
  <conditionalFormatting sqref="F23:G29">
    <cfRule type="expression" dxfId="9966" priority="2842">
      <formula>$C23&lt;$E$3</formula>
    </cfRule>
  </conditionalFormatting>
  <conditionalFormatting sqref="F23:G29">
    <cfRule type="expression" dxfId="9965" priority="2838">
      <formula>$C23=$E$3</formula>
    </cfRule>
    <cfRule type="expression" dxfId="9964" priority="2839">
      <formula>$C23&lt;$E$3</formula>
    </cfRule>
    <cfRule type="cellIs" dxfId="9963" priority="2840" operator="equal">
      <formula>0</formula>
    </cfRule>
    <cfRule type="expression" dxfId="9962" priority="2841">
      <formula>$C23&gt;$E$3</formula>
    </cfRule>
  </conditionalFormatting>
  <conditionalFormatting sqref="F23:G29">
    <cfRule type="expression" dxfId="9961" priority="2837">
      <formula>$E23=""</formula>
    </cfRule>
  </conditionalFormatting>
  <conditionalFormatting sqref="F23:G29">
    <cfRule type="expression" dxfId="9960" priority="2836">
      <formula>$C23&lt;$E$3</formula>
    </cfRule>
  </conditionalFormatting>
  <conditionalFormatting sqref="F23:G29">
    <cfRule type="expression" dxfId="9959" priority="2835">
      <formula>$E23=""</formula>
    </cfRule>
  </conditionalFormatting>
  <conditionalFormatting sqref="F23:G29">
    <cfRule type="expression" dxfId="9958" priority="2834">
      <formula>$E23=""</formula>
    </cfRule>
  </conditionalFormatting>
  <conditionalFormatting sqref="F23:G29">
    <cfRule type="expression" dxfId="9957" priority="2833">
      <formula>$C23&lt;$E$3</formula>
    </cfRule>
  </conditionalFormatting>
  <conditionalFormatting sqref="F23:G29">
    <cfRule type="expression" dxfId="9956" priority="2832">
      <formula>$E23=""</formula>
    </cfRule>
  </conditionalFormatting>
  <conditionalFormatting sqref="F23:G29">
    <cfRule type="expression" dxfId="9955" priority="2831">
      <formula>$C23&lt;$E$3</formula>
    </cfRule>
  </conditionalFormatting>
  <conditionalFormatting sqref="F23:G29">
    <cfRule type="expression" dxfId="9954" priority="2830">
      <formula>$E23=""</formula>
    </cfRule>
  </conditionalFormatting>
  <conditionalFormatting sqref="F23:G29">
    <cfRule type="expression" dxfId="9953" priority="2829">
      <formula>$C23&lt;$E$3</formula>
    </cfRule>
  </conditionalFormatting>
  <conditionalFormatting sqref="F23:G29">
    <cfRule type="expression" dxfId="9952" priority="2828">
      <formula>$E23=""</formula>
    </cfRule>
  </conditionalFormatting>
  <conditionalFormatting sqref="F38:H38 F32:G37">
    <cfRule type="expression" dxfId="9951" priority="2827">
      <formula>$C32&lt;$E$3</formula>
    </cfRule>
  </conditionalFormatting>
  <conditionalFormatting sqref="F38:H38 F32:G37">
    <cfRule type="expression" dxfId="9950" priority="2823">
      <formula>$C32=$E$3</formula>
    </cfRule>
    <cfRule type="expression" dxfId="9949" priority="2824">
      <formula>$C32&lt;$E$3</formula>
    </cfRule>
    <cfRule type="cellIs" dxfId="9948" priority="2825" operator="equal">
      <formula>0</formula>
    </cfRule>
    <cfRule type="expression" dxfId="9947" priority="2826">
      <formula>$C32&gt;$E$3</formula>
    </cfRule>
  </conditionalFormatting>
  <conditionalFormatting sqref="F38:H38 F32:G37">
    <cfRule type="expression" dxfId="9946" priority="2822">
      <formula>$C32&lt;$E$3</formula>
    </cfRule>
  </conditionalFormatting>
  <conditionalFormatting sqref="F38:H38 F32:G37">
    <cfRule type="expression" dxfId="9945" priority="2818">
      <formula>$C32=$E$3</formula>
    </cfRule>
    <cfRule type="expression" dxfId="9944" priority="2819">
      <formula>$C32&lt;$E$3</formula>
    </cfRule>
    <cfRule type="cellIs" dxfId="9943" priority="2820" operator="equal">
      <formula>0</formula>
    </cfRule>
    <cfRule type="expression" dxfId="9942" priority="2821">
      <formula>$C32&gt;$E$3</formula>
    </cfRule>
  </conditionalFormatting>
  <conditionalFormatting sqref="F38:H38 F32:G37">
    <cfRule type="expression" dxfId="9941" priority="2817">
      <formula>$E32=""</formula>
    </cfRule>
  </conditionalFormatting>
  <conditionalFormatting sqref="F38:H38 F32:G37">
    <cfRule type="expression" dxfId="9940" priority="2816">
      <formula>$C32&lt;$E$3</formula>
    </cfRule>
  </conditionalFormatting>
  <conditionalFormatting sqref="F38:H38 F32:G37">
    <cfRule type="expression" dxfId="9939" priority="2815">
      <formula>$E32=""</formula>
    </cfRule>
  </conditionalFormatting>
  <conditionalFormatting sqref="F38:H38 F32:G37">
    <cfRule type="expression" dxfId="9938" priority="2814">
      <formula>$E32=""</formula>
    </cfRule>
  </conditionalFormatting>
  <conditionalFormatting sqref="F38:H38 F32:G37">
    <cfRule type="expression" dxfId="9937" priority="2813">
      <formula>$C32&lt;$E$3</formula>
    </cfRule>
  </conditionalFormatting>
  <conditionalFormatting sqref="F38:H38 F32:G37">
    <cfRule type="expression" dxfId="9936" priority="2812">
      <formula>$E32=""</formula>
    </cfRule>
  </conditionalFormatting>
  <conditionalFormatting sqref="F38:H38 F32:G37">
    <cfRule type="expression" dxfId="9935" priority="2811">
      <formula>$C32&lt;$E$3</formula>
    </cfRule>
  </conditionalFormatting>
  <conditionalFormatting sqref="F38:H38 F32:G37">
    <cfRule type="expression" dxfId="9934" priority="2810">
      <formula>$E32=""</formula>
    </cfRule>
  </conditionalFormatting>
  <conditionalFormatting sqref="F38:H38 F32:G37">
    <cfRule type="expression" dxfId="9933" priority="2809">
      <formula>$C32&lt;$E$3</formula>
    </cfRule>
  </conditionalFormatting>
  <conditionalFormatting sqref="F38:H38 F32:G37">
    <cfRule type="expression" dxfId="9932" priority="2808">
      <formula>$E32=""</formula>
    </cfRule>
  </conditionalFormatting>
  <conditionalFormatting sqref="F41:H47">
    <cfRule type="expression" dxfId="9931" priority="2807">
      <formula>$C41&lt;$E$3</formula>
    </cfRule>
  </conditionalFormatting>
  <conditionalFormatting sqref="F41:H47">
    <cfRule type="expression" dxfId="9930" priority="2803">
      <formula>$C41=$E$3</formula>
    </cfRule>
    <cfRule type="expression" dxfId="9929" priority="2804">
      <formula>$C41&lt;$E$3</formula>
    </cfRule>
    <cfRule type="cellIs" dxfId="9928" priority="2805" operator="equal">
      <formula>0</formula>
    </cfRule>
    <cfRule type="expression" dxfId="9927" priority="2806">
      <formula>$C41&gt;$E$3</formula>
    </cfRule>
  </conditionalFormatting>
  <conditionalFormatting sqref="F41:H47">
    <cfRule type="expression" dxfId="9926" priority="2802">
      <formula>$C41&lt;$E$3</formula>
    </cfRule>
  </conditionalFormatting>
  <conditionalFormatting sqref="F41:H47">
    <cfRule type="expression" dxfId="9925" priority="2798">
      <formula>$C41=$E$3</formula>
    </cfRule>
    <cfRule type="expression" dxfId="9924" priority="2799">
      <formula>$C41&lt;$E$3</formula>
    </cfRule>
    <cfRule type="cellIs" dxfId="9923" priority="2800" operator="equal">
      <formula>0</formula>
    </cfRule>
    <cfRule type="expression" dxfId="9922" priority="2801">
      <formula>$C41&gt;$E$3</formula>
    </cfRule>
  </conditionalFormatting>
  <conditionalFormatting sqref="F41:H47">
    <cfRule type="expression" dxfId="9921" priority="2797">
      <formula>$E41=""</formula>
    </cfRule>
  </conditionalFormatting>
  <conditionalFormatting sqref="F41:H47">
    <cfRule type="expression" dxfId="9920" priority="2796">
      <formula>$C41&lt;$E$3</formula>
    </cfRule>
  </conditionalFormatting>
  <conditionalFormatting sqref="F41:H47">
    <cfRule type="expression" dxfId="9919" priority="2795">
      <formula>$E41=""</formula>
    </cfRule>
  </conditionalFormatting>
  <conditionalFormatting sqref="F41:H47">
    <cfRule type="expression" dxfId="9918" priority="2794">
      <formula>$E41=""</formula>
    </cfRule>
  </conditionalFormatting>
  <conditionalFormatting sqref="F41:H47">
    <cfRule type="expression" dxfId="9917" priority="2793">
      <formula>$C41&lt;$E$3</formula>
    </cfRule>
  </conditionalFormatting>
  <conditionalFormatting sqref="F41:H47">
    <cfRule type="expression" dxfId="9916" priority="2792">
      <formula>$E41=""</formula>
    </cfRule>
  </conditionalFormatting>
  <conditionalFormatting sqref="F41:H47">
    <cfRule type="expression" dxfId="9915" priority="2791">
      <formula>$C41&lt;$E$3</formula>
    </cfRule>
  </conditionalFormatting>
  <conditionalFormatting sqref="F41:H47">
    <cfRule type="expression" dxfId="9914" priority="2790">
      <formula>$E41=""</formula>
    </cfRule>
  </conditionalFormatting>
  <conditionalFormatting sqref="F41:H47">
    <cfRule type="expression" dxfId="9913" priority="2789">
      <formula>$C41&lt;$E$3</formula>
    </cfRule>
  </conditionalFormatting>
  <conditionalFormatting sqref="F41:H47">
    <cfRule type="expression" dxfId="9912" priority="2788">
      <formula>$E41=""</formula>
    </cfRule>
  </conditionalFormatting>
  <conditionalFormatting sqref="F50:H51">
    <cfRule type="cellIs" dxfId="9911" priority="2787" stopIfTrue="1" operator="lessThan">
      <formula>0</formula>
    </cfRule>
  </conditionalFormatting>
  <conditionalFormatting sqref="F50:H51">
    <cfRule type="expression" dxfId="9910" priority="2786">
      <formula>$C50&lt;$E$3</formula>
    </cfRule>
  </conditionalFormatting>
  <conditionalFormatting sqref="F50:H51">
    <cfRule type="expression" dxfId="9909" priority="2782">
      <formula>$C50=$E$3</formula>
    </cfRule>
    <cfRule type="expression" dxfId="9908" priority="2783">
      <formula>$C50&lt;$E$3</formula>
    </cfRule>
    <cfRule type="cellIs" dxfId="9907" priority="2784" operator="equal">
      <formula>0</formula>
    </cfRule>
    <cfRule type="expression" dxfId="9906" priority="2785">
      <formula>$C50&gt;$E$3</formula>
    </cfRule>
  </conditionalFormatting>
  <conditionalFormatting sqref="F50:H51">
    <cfRule type="expression" dxfId="9905" priority="2781">
      <formula>$C50&lt;$E$3</formula>
    </cfRule>
  </conditionalFormatting>
  <conditionalFormatting sqref="F50:H51">
    <cfRule type="expression" dxfId="9904" priority="2777">
      <formula>$C50=$E$3</formula>
    </cfRule>
    <cfRule type="expression" dxfId="9903" priority="2778">
      <formula>$C50&lt;$E$3</formula>
    </cfRule>
    <cfRule type="cellIs" dxfId="9902" priority="2779" operator="equal">
      <formula>0</formula>
    </cfRule>
    <cfRule type="expression" dxfId="9901" priority="2780">
      <formula>$C50&gt;$E$3</formula>
    </cfRule>
  </conditionalFormatting>
  <conditionalFormatting sqref="F50:H51">
    <cfRule type="expression" dxfId="9900" priority="2776">
      <formula>$C50&lt;$E$3</formula>
    </cfRule>
  </conditionalFormatting>
  <conditionalFormatting sqref="F50:H51">
    <cfRule type="expression" dxfId="9899" priority="2772">
      <formula>$C50=$E$3</formula>
    </cfRule>
    <cfRule type="expression" dxfId="9898" priority="2773">
      <formula>$C50&lt;$E$3</formula>
    </cfRule>
    <cfRule type="cellIs" dxfId="9897" priority="2774" operator="equal">
      <formula>0</formula>
    </cfRule>
    <cfRule type="expression" dxfId="9896" priority="2775">
      <formula>$C50&gt;$E$3</formula>
    </cfRule>
  </conditionalFormatting>
  <conditionalFormatting sqref="F50:H51">
    <cfRule type="expression" dxfId="9895" priority="2771">
      <formula>$C50&lt;$E$3</formula>
    </cfRule>
  </conditionalFormatting>
  <conditionalFormatting sqref="F50:H51">
    <cfRule type="expression" dxfId="9894" priority="2767">
      <formula>$C50=$E$3</formula>
    </cfRule>
    <cfRule type="expression" dxfId="9893" priority="2768">
      <formula>$C50&lt;$E$3</formula>
    </cfRule>
    <cfRule type="cellIs" dxfId="9892" priority="2769" operator="equal">
      <formula>0</formula>
    </cfRule>
    <cfRule type="expression" dxfId="9891" priority="2770">
      <formula>$C50&gt;$E$3</formula>
    </cfRule>
  </conditionalFormatting>
  <conditionalFormatting sqref="F50:H51">
    <cfRule type="expression" dxfId="9890" priority="2766">
      <formula>$E50=""</formula>
    </cfRule>
  </conditionalFormatting>
  <conditionalFormatting sqref="F50:H51">
    <cfRule type="expression" dxfId="9889" priority="2765">
      <formula>$C50&lt;$E$3</formula>
    </cfRule>
  </conditionalFormatting>
  <conditionalFormatting sqref="F50:H51">
    <cfRule type="expression" dxfId="9888" priority="2764">
      <formula>$E50=""</formula>
    </cfRule>
  </conditionalFormatting>
  <conditionalFormatting sqref="F50:H51">
    <cfRule type="expression" dxfId="9887" priority="2763">
      <formula>$E50=""</formula>
    </cfRule>
  </conditionalFormatting>
  <conditionalFormatting sqref="F50:H51">
    <cfRule type="expression" dxfId="9886" priority="2762">
      <formula>$C50&lt;$E$3</formula>
    </cfRule>
  </conditionalFormatting>
  <conditionalFormatting sqref="F50:H51">
    <cfRule type="expression" dxfId="9885" priority="2761">
      <formula>$E50=""</formula>
    </cfRule>
  </conditionalFormatting>
  <conditionalFormatting sqref="F50:H51">
    <cfRule type="expression" dxfId="9884" priority="2760">
      <formula>$C50&lt;$E$3</formula>
    </cfRule>
  </conditionalFormatting>
  <conditionalFormatting sqref="F50:H51">
    <cfRule type="expression" dxfId="9883" priority="2759">
      <formula>$E50=""</formula>
    </cfRule>
  </conditionalFormatting>
  <conditionalFormatting sqref="F50:H51">
    <cfRule type="expression" dxfId="9882" priority="2758">
      <formula>$C50&lt;$E$3</formula>
    </cfRule>
  </conditionalFormatting>
  <conditionalFormatting sqref="F50:H51">
    <cfRule type="expression" dxfId="9881" priority="2757">
      <formula>$E50=""</formula>
    </cfRule>
  </conditionalFormatting>
  <conditionalFormatting sqref="E14:E20 E5:E11 E41:E47 E32:E38 E23:E29 E50:E51">
    <cfRule type="containsText" dxfId="9880" priority="2750" operator="containsText" text="Sa">
      <formula>NOT(ISERROR(SEARCH("Sa",E5)))</formula>
    </cfRule>
    <cfRule type="containsText" dxfId="9879" priority="2752" operator="containsText" text="Fr">
      <formula>NOT(ISERROR(SEARCH("Fr",E5)))</formula>
    </cfRule>
    <cfRule type="containsText" dxfId="9878" priority="2753" operator="containsText" text="Th">
      <formula>NOT(ISERROR(SEARCH("Th",E5)))</formula>
    </cfRule>
  </conditionalFormatting>
  <conditionalFormatting sqref="E14:E20 E5:E11 E41:E47 E32:E38 E23:E29 E50:E51">
    <cfRule type="containsText" dxfId="9877" priority="2754" operator="containsText" text="Wed">
      <formula>NOT(ISERROR(SEARCH("Wed",E5)))</formula>
    </cfRule>
    <cfRule type="containsText" dxfId="9876" priority="2755" operator="containsText" text="Tu">
      <formula>NOT(ISERROR(SEARCH("Tu",E5)))</formula>
    </cfRule>
    <cfRule type="beginsWith" dxfId="9875" priority="2756" operator="beginsWith" text="M">
      <formula>LEFT(E5,1)="M"</formula>
    </cfRule>
  </conditionalFormatting>
  <conditionalFormatting sqref="E14:E20 E5:E11 E41:E47 E32:E38 E23:E29 E50:E51">
    <cfRule type="containsText" dxfId="9874" priority="2751" operator="containsText" text="Su">
      <formula>NOT(ISERROR(SEARCH("Su",E5)))</formula>
    </cfRule>
  </conditionalFormatting>
  <conditionalFormatting sqref="C4">
    <cfRule type="cellIs" dxfId="9873" priority="2746" stopIfTrue="1" operator="notBetween">
      <formula>$B$2</formula>
      <formula>$B$3</formula>
    </cfRule>
  </conditionalFormatting>
  <conditionalFormatting sqref="C4">
    <cfRule type="cellIs" dxfId="9872" priority="2747" operator="greaterThan">
      <formula>$E$3</formula>
    </cfRule>
    <cfRule type="cellIs" dxfId="9871" priority="2748" operator="equal">
      <formula>$E$3</formula>
    </cfRule>
    <cfRule type="cellIs" dxfId="9870" priority="2749" operator="lessThan">
      <formula>$E$3</formula>
    </cfRule>
  </conditionalFormatting>
  <conditionalFormatting sqref="H23:H29 H32 H14:H20 H11">
    <cfRule type="cellIs" dxfId="9869" priority="2556" stopIfTrue="1" operator="lessThan">
      <formula>0</formula>
    </cfRule>
  </conditionalFormatting>
  <conditionalFormatting sqref="H12">
    <cfRule type="expression" dxfId="9868" priority="2555">
      <formula>$F12&gt;=$F13</formula>
    </cfRule>
  </conditionalFormatting>
  <conditionalFormatting sqref="H21">
    <cfRule type="expression" dxfId="9867" priority="2554">
      <formula>$F21&gt;=$F22</formula>
    </cfRule>
  </conditionalFormatting>
  <conditionalFormatting sqref="H30">
    <cfRule type="expression" dxfId="9866" priority="2553">
      <formula>$F30&gt;=$F31</formula>
    </cfRule>
  </conditionalFormatting>
  <conditionalFormatting sqref="H12">
    <cfRule type="expression" dxfId="9865" priority="2552">
      <formula>$F12&gt;=$F13</formula>
    </cfRule>
  </conditionalFormatting>
  <conditionalFormatting sqref="H21">
    <cfRule type="expression" dxfId="9864" priority="2551">
      <formula>$F21&gt;=$F22</formula>
    </cfRule>
  </conditionalFormatting>
  <conditionalFormatting sqref="H30">
    <cfRule type="expression" dxfId="9863" priority="2550">
      <formula>$F30&gt;=$F31</formula>
    </cfRule>
  </conditionalFormatting>
  <conditionalFormatting sqref="H11">
    <cfRule type="expression" dxfId="9862" priority="2548">
      <formula>$C11&lt;$E$3</formula>
    </cfRule>
  </conditionalFormatting>
  <conditionalFormatting sqref="H11">
    <cfRule type="expression" dxfId="9861" priority="2545">
      <formula>$C11=$E$3</formula>
    </cfRule>
    <cfRule type="expression" dxfId="9860" priority="2546">
      <formula>$C11&lt;$E$3</formula>
    </cfRule>
    <cfRule type="cellIs" dxfId="9859" priority="2547" operator="equal">
      <formula>0</formula>
    </cfRule>
    <cfRule type="expression" dxfId="9858" priority="2549">
      <formula>$C11&gt;$E$3</formula>
    </cfRule>
  </conditionalFormatting>
  <conditionalFormatting sqref="H11">
    <cfRule type="expression" dxfId="9857" priority="2544">
      <formula>$C11&lt;$E$3</formula>
    </cfRule>
  </conditionalFormatting>
  <conditionalFormatting sqref="H11">
    <cfRule type="expression" dxfId="9856" priority="2540">
      <formula>$C11=$E$3</formula>
    </cfRule>
    <cfRule type="expression" dxfId="9855" priority="2541">
      <formula>$C11&lt;$E$3</formula>
    </cfRule>
    <cfRule type="cellIs" dxfId="9854" priority="2542" operator="equal">
      <formula>0</formula>
    </cfRule>
    <cfRule type="expression" dxfId="9853" priority="2543">
      <formula>$C11&gt;$E$3</formula>
    </cfRule>
  </conditionalFormatting>
  <conditionalFormatting sqref="H11">
    <cfRule type="expression" dxfId="9852" priority="2539">
      <formula>$C11&lt;$E$3</formula>
    </cfRule>
  </conditionalFormatting>
  <conditionalFormatting sqref="H11">
    <cfRule type="expression" dxfId="9851" priority="2535">
      <formula>$C11=$E$3</formula>
    </cfRule>
    <cfRule type="expression" dxfId="9850" priority="2536">
      <formula>$C11&lt;$E$3</formula>
    </cfRule>
    <cfRule type="cellIs" dxfId="9849" priority="2537" operator="equal">
      <formula>0</formula>
    </cfRule>
    <cfRule type="expression" dxfId="9848" priority="2538">
      <formula>$C11&gt;$E$3</formula>
    </cfRule>
  </conditionalFormatting>
  <conditionalFormatting sqref="H11">
    <cfRule type="expression" dxfId="9847" priority="2534">
      <formula>$C11&lt;$E$3</formula>
    </cfRule>
  </conditionalFormatting>
  <conditionalFormatting sqref="H11">
    <cfRule type="expression" dxfId="9846" priority="2530">
      <formula>$C11=$E$3</formula>
    </cfRule>
    <cfRule type="expression" dxfId="9845" priority="2531">
      <formula>$C11&lt;$E$3</formula>
    </cfRule>
    <cfRule type="cellIs" dxfId="9844" priority="2532" operator="equal">
      <formula>0</formula>
    </cfRule>
    <cfRule type="expression" dxfId="9843" priority="2533">
      <formula>$C11&gt;$E$3</formula>
    </cfRule>
  </conditionalFormatting>
  <conditionalFormatting sqref="H11">
    <cfRule type="expression" dxfId="9842" priority="2529">
      <formula>$E11=""</formula>
    </cfRule>
  </conditionalFormatting>
  <conditionalFormatting sqref="H11">
    <cfRule type="expression" dxfId="9841" priority="2528">
      <formula>$C11&lt;$E$3</formula>
    </cfRule>
  </conditionalFormatting>
  <conditionalFormatting sqref="H11">
    <cfRule type="expression" dxfId="9840" priority="2527">
      <formula>$E11=""</formula>
    </cfRule>
  </conditionalFormatting>
  <conditionalFormatting sqref="H11">
    <cfRule type="expression" dxfId="9839" priority="2526">
      <formula>$E11=""</formula>
    </cfRule>
  </conditionalFormatting>
  <conditionalFormatting sqref="H11">
    <cfRule type="expression" dxfId="9838" priority="2525">
      <formula>$C11&lt;$E$3</formula>
    </cfRule>
  </conditionalFormatting>
  <conditionalFormatting sqref="H11">
    <cfRule type="expression" dxfId="9837" priority="2524">
      <formula>$E11=""</formula>
    </cfRule>
  </conditionalFormatting>
  <conditionalFormatting sqref="H11">
    <cfRule type="expression" dxfId="9836" priority="2523">
      <formula>$C11&lt;$E$3</formula>
    </cfRule>
  </conditionalFormatting>
  <conditionalFormatting sqref="H11">
    <cfRule type="expression" dxfId="9835" priority="2522">
      <formula>$E11=""</formula>
    </cfRule>
  </conditionalFormatting>
  <conditionalFormatting sqref="H11">
    <cfRule type="expression" dxfId="9834" priority="2521">
      <formula>$C11&lt;$E$3</formula>
    </cfRule>
  </conditionalFormatting>
  <conditionalFormatting sqref="H11">
    <cfRule type="expression" dxfId="9833" priority="2520">
      <formula>$E11=""</formula>
    </cfRule>
  </conditionalFormatting>
  <conditionalFormatting sqref="H14:H20">
    <cfRule type="expression" dxfId="9832" priority="2518">
      <formula>$C14&lt;$E$3</formula>
    </cfRule>
  </conditionalFormatting>
  <conditionalFormatting sqref="H14:H20">
    <cfRule type="expression" dxfId="9831" priority="2515">
      <formula>$C14=$E$3</formula>
    </cfRule>
    <cfRule type="expression" dxfId="9830" priority="2516">
      <formula>$C14&lt;$E$3</formula>
    </cfRule>
    <cfRule type="cellIs" dxfId="9829" priority="2517" operator="equal">
      <formula>0</formula>
    </cfRule>
    <cfRule type="expression" dxfId="9828" priority="2519">
      <formula>$C14&gt;$E$3</formula>
    </cfRule>
  </conditionalFormatting>
  <conditionalFormatting sqref="H14:H20">
    <cfRule type="expression" dxfId="9827" priority="2514">
      <formula>$C14&lt;$E$3</formula>
    </cfRule>
  </conditionalFormatting>
  <conditionalFormatting sqref="H14:H20">
    <cfRule type="expression" dxfId="9826" priority="2510">
      <formula>$C14=$E$3</formula>
    </cfRule>
    <cfRule type="expression" dxfId="9825" priority="2511">
      <formula>$C14&lt;$E$3</formula>
    </cfRule>
    <cfRule type="cellIs" dxfId="9824" priority="2512" operator="equal">
      <formula>0</formula>
    </cfRule>
    <cfRule type="expression" dxfId="9823" priority="2513">
      <formula>$C14&gt;$E$3</formula>
    </cfRule>
  </conditionalFormatting>
  <conditionalFormatting sqref="H14:H20">
    <cfRule type="expression" dxfId="9822" priority="2509">
      <formula>$C14&lt;$E$3</formula>
    </cfRule>
  </conditionalFormatting>
  <conditionalFormatting sqref="H14:H20">
    <cfRule type="expression" dxfId="9821" priority="2505">
      <formula>$C14=$E$3</formula>
    </cfRule>
    <cfRule type="expression" dxfId="9820" priority="2506">
      <formula>$C14&lt;$E$3</formula>
    </cfRule>
    <cfRule type="cellIs" dxfId="9819" priority="2507" operator="equal">
      <formula>0</formula>
    </cfRule>
    <cfRule type="expression" dxfId="9818" priority="2508">
      <formula>$C14&gt;$E$3</formula>
    </cfRule>
  </conditionalFormatting>
  <conditionalFormatting sqref="H14:H20">
    <cfRule type="expression" dxfId="9817" priority="2504">
      <formula>$C14&lt;$E$3</formula>
    </cfRule>
  </conditionalFormatting>
  <conditionalFormatting sqref="H14:H20">
    <cfRule type="expression" dxfId="9816" priority="2500">
      <formula>$C14=$E$3</formula>
    </cfRule>
    <cfRule type="expression" dxfId="9815" priority="2501">
      <formula>$C14&lt;$E$3</formula>
    </cfRule>
    <cfRule type="cellIs" dxfId="9814" priority="2502" operator="equal">
      <formula>0</formula>
    </cfRule>
    <cfRule type="expression" dxfId="9813" priority="2503">
      <formula>$C14&gt;$E$3</formula>
    </cfRule>
  </conditionalFormatting>
  <conditionalFormatting sqref="H14:H20">
    <cfRule type="expression" dxfId="9812" priority="2499">
      <formula>$E14=""</formula>
    </cfRule>
  </conditionalFormatting>
  <conditionalFormatting sqref="H14:H20">
    <cfRule type="expression" dxfId="9811" priority="2498">
      <formula>$C14&lt;$E$3</formula>
    </cfRule>
  </conditionalFormatting>
  <conditionalFormatting sqref="H14:H20">
    <cfRule type="expression" dxfId="9810" priority="2497">
      <formula>$E14=""</formula>
    </cfRule>
  </conditionalFormatting>
  <conditionalFormatting sqref="H14:H20">
    <cfRule type="expression" dxfId="9809" priority="2496">
      <formula>$E14=""</formula>
    </cfRule>
  </conditionalFormatting>
  <conditionalFormatting sqref="H14:H20">
    <cfRule type="expression" dxfId="9808" priority="2495">
      <formula>$C14&lt;$E$3</formula>
    </cfRule>
  </conditionalFormatting>
  <conditionalFormatting sqref="H14:H20">
    <cfRule type="expression" dxfId="9807" priority="2494">
      <formula>$E14=""</formula>
    </cfRule>
  </conditionalFormatting>
  <conditionalFormatting sqref="H14:H20">
    <cfRule type="expression" dxfId="9806" priority="2493">
      <formula>$C14&lt;$E$3</formula>
    </cfRule>
  </conditionalFormatting>
  <conditionalFormatting sqref="H14:H20">
    <cfRule type="expression" dxfId="9805" priority="2492">
      <formula>$E14=""</formula>
    </cfRule>
  </conditionalFormatting>
  <conditionalFormatting sqref="H14:H20">
    <cfRule type="expression" dxfId="9804" priority="2491">
      <formula>$C14&lt;$E$3</formula>
    </cfRule>
  </conditionalFormatting>
  <conditionalFormatting sqref="H14:H20">
    <cfRule type="expression" dxfId="9803" priority="2490">
      <formula>$E14=""</formula>
    </cfRule>
  </conditionalFormatting>
  <conditionalFormatting sqref="H23:H29">
    <cfRule type="expression" dxfId="9802" priority="2488">
      <formula>$C23&lt;$E$3</formula>
    </cfRule>
  </conditionalFormatting>
  <conditionalFormatting sqref="H23:H29">
    <cfRule type="expression" dxfId="9801" priority="2485">
      <formula>$C23=$E$3</formula>
    </cfRule>
    <cfRule type="expression" dxfId="9800" priority="2486">
      <formula>$C23&lt;$E$3</formula>
    </cfRule>
    <cfRule type="cellIs" dxfId="9799" priority="2487" operator="equal">
      <formula>0</formula>
    </cfRule>
    <cfRule type="expression" dxfId="9798" priority="2489">
      <formula>$C23&gt;$E$3</formula>
    </cfRule>
  </conditionalFormatting>
  <conditionalFormatting sqref="H23:H29">
    <cfRule type="expression" dxfId="9797" priority="2484">
      <formula>$C23&lt;$E$3</formula>
    </cfRule>
  </conditionalFormatting>
  <conditionalFormatting sqref="H23:H29">
    <cfRule type="expression" dxfId="9796" priority="2480">
      <formula>$C23=$E$3</formula>
    </cfRule>
    <cfRule type="expression" dxfId="9795" priority="2481">
      <formula>$C23&lt;$E$3</formula>
    </cfRule>
    <cfRule type="cellIs" dxfId="9794" priority="2482" operator="equal">
      <formula>0</formula>
    </cfRule>
    <cfRule type="expression" dxfId="9793" priority="2483">
      <formula>$C23&gt;$E$3</formula>
    </cfRule>
  </conditionalFormatting>
  <conditionalFormatting sqref="H23:H29">
    <cfRule type="expression" dxfId="9792" priority="2479">
      <formula>$C23&lt;$E$3</formula>
    </cfRule>
  </conditionalFormatting>
  <conditionalFormatting sqref="H23:H29">
    <cfRule type="expression" dxfId="9791" priority="2475">
      <formula>$C23=$E$3</formula>
    </cfRule>
    <cfRule type="expression" dxfId="9790" priority="2476">
      <formula>$C23&lt;$E$3</formula>
    </cfRule>
    <cfRule type="cellIs" dxfId="9789" priority="2477" operator="equal">
      <formula>0</formula>
    </cfRule>
    <cfRule type="expression" dxfId="9788" priority="2478">
      <formula>$C23&gt;$E$3</formula>
    </cfRule>
  </conditionalFormatting>
  <conditionalFormatting sqref="H23:H29">
    <cfRule type="expression" dxfId="9787" priority="2474">
      <formula>$C23&lt;$E$3</formula>
    </cfRule>
  </conditionalFormatting>
  <conditionalFormatting sqref="H23:H29">
    <cfRule type="expression" dxfId="9786" priority="2470">
      <formula>$C23=$E$3</formula>
    </cfRule>
    <cfRule type="expression" dxfId="9785" priority="2471">
      <formula>$C23&lt;$E$3</formula>
    </cfRule>
    <cfRule type="cellIs" dxfId="9784" priority="2472" operator="equal">
      <formula>0</formula>
    </cfRule>
    <cfRule type="expression" dxfId="9783" priority="2473">
      <formula>$C23&gt;$E$3</formula>
    </cfRule>
  </conditionalFormatting>
  <conditionalFormatting sqref="H23:H29">
    <cfRule type="expression" dxfId="9782" priority="2469">
      <formula>$E23=""</formula>
    </cfRule>
  </conditionalFormatting>
  <conditionalFormatting sqref="H23:H29">
    <cfRule type="expression" dxfId="9781" priority="2468">
      <formula>$C23&lt;$E$3</formula>
    </cfRule>
  </conditionalFormatting>
  <conditionalFormatting sqref="H23:H29">
    <cfRule type="expression" dxfId="9780" priority="2467">
      <formula>$E23=""</formula>
    </cfRule>
  </conditionalFormatting>
  <conditionalFormatting sqref="H23:H29">
    <cfRule type="expression" dxfId="9779" priority="2466">
      <formula>$E23=""</formula>
    </cfRule>
  </conditionalFormatting>
  <conditionalFormatting sqref="H23:H29">
    <cfRule type="expression" dxfId="9778" priority="2465">
      <formula>$C23&lt;$E$3</formula>
    </cfRule>
  </conditionalFormatting>
  <conditionalFormatting sqref="H23:H29">
    <cfRule type="expression" dxfId="9777" priority="2464">
      <formula>$E23=""</formula>
    </cfRule>
  </conditionalFormatting>
  <conditionalFormatting sqref="H23:H29">
    <cfRule type="expression" dxfId="9776" priority="2463">
      <formula>$C23&lt;$E$3</formula>
    </cfRule>
  </conditionalFormatting>
  <conditionalFormatting sqref="H23:H29">
    <cfRule type="expression" dxfId="9775" priority="2462">
      <formula>$E23=""</formula>
    </cfRule>
  </conditionalFormatting>
  <conditionalFormatting sqref="H23:H29">
    <cfRule type="expression" dxfId="9774" priority="2461">
      <formula>$C23&lt;$E$3</formula>
    </cfRule>
  </conditionalFormatting>
  <conditionalFormatting sqref="H23:H29">
    <cfRule type="expression" dxfId="9773" priority="2460">
      <formula>$E23=""</formula>
    </cfRule>
  </conditionalFormatting>
  <conditionalFormatting sqref="H32">
    <cfRule type="expression" dxfId="9772" priority="2458">
      <formula>$C32&lt;$E$3</formula>
    </cfRule>
  </conditionalFormatting>
  <conditionalFormatting sqref="H32">
    <cfRule type="expression" dxfId="9771" priority="2455">
      <formula>$C32=$E$3</formula>
    </cfRule>
    <cfRule type="expression" dxfId="9770" priority="2456">
      <formula>$C32&lt;$E$3</formula>
    </cfRule>
    <cfRule type="cellIs" dxfId="9769" priority="2457" operator="equal">
      <formula>0</formula>
    </cfRule>
    <cfRule type="expression" dxfId="9768" priority="2459">
      <formula>$C32&gt;$E$3</formula>
    </cfRule>
  </conditionalFormatting>
  <conditionalFormatting sqref="H32">
    <cfRule type="expression" dxfId="9767" priority="2454">
      <formula>$C32&lt;$E$3</formula>
    </cfRule>
  </conditionalFormatting>
  <conditionalFormatting sqref="H32">
    <cfRule type="expression" dxfId="9766" priority="2450">
      <formula>$C32=$E$3</formula>
    </cfRule>
    <cfRule type="expression" dxfId="9765" priority="2451">
      <formula>$C32&lt;$E$3</formula>
    </cfRule>
    <cfRule type="cellIs" dxfId="9764" priority="2452" operator="equal">
      <formula>0</formula>
    </cfRule>
    <cfRule type="expression" dxfId="9763" priority="2453">
      <formula>$C32&gt;$E$3</formula>
    </cfRule>
  </conditionalFormatting>
  <conditionalFormatting sqref="H32">
    <cfRule type="expression" dxfId="9762" priority="2449">
      <formula>$C32&lt;$E$3</formula>
    </cfRule>
  </conditionalFormatting>
  <conditionalFormatting sqref="H32">
    <cfRule type="expression" dxfId="9761" priority="2445">
      <formula>$C32=$E$3</formula>
    </cfRule>
    <cfRule type="expression" dxfId="9760" priority="2446">
      <formula>$C32&lt;$E$3</formula>
    </cfRule>
    <cfRule type="cellIs" dxfId="9759" priority="2447" operator="equal">
      <formula>0</formula>
    </cfRule>
    <cfRule type="expression" dxfId="9758" priority="2448">
      <formula>$C32&gt;$E$3</formula>
    </cfRule>
  </conditionalFormatting>
  <conditionalFormatting sqref="H32">
    <cfRule type="expression" dxfId="9757" priority="2444">
      <formula>$C32&lt;$E$3</formula>
    </cfRule>
  </conditionalFormatting>
  <conditionalFormatting sqref="H32">
    <cfRule type="expression" dxfId="9756" priority="2440">
      <formula>$C32=$E$3</formula>
    </cfRule>
    <cfRule type="expression" dxfId="9755" priority="2441">
      <formula>$C32&lt;$E$3</formula>
    </cfRule>
    <cfRule type="cellIs" dxfId="9754" priority="2442" operator="equal">
      <formula>0</formula>
    </cfRule>
    <cfRule type="expression" dxfId="9753" priority="2443">
      <formula>$C32&gt;$E$3</formula>
    </cfRule>
  </conditionalFormatting>
  <conditionalFormatting sqref="H32">
    <cfRule type="expression" dxfId="9752" priority="2439">
      <formula>$E32=""</formula>
    </cfRule>
  </conditionalFormatting>
  <conditionalFormatting sqref="H32">
    <cfRule type="expression" dxfId="9751" priority="2438">
      <formula>$C32&lt;$E$3</formula>
    </cfRule>
  </conditionalFormatting>
  <conditionalFormatting sqref="H32">
    <cfRule type="expression" dxfId="9750" priority="2437">
      <formula>$E32=""</formula>
    </cfRule>
  </conditionalFormatting>
  <conditionalFormatting sqref="H32">
    <cfRule type="expression" dxfId="9749" priority="2436">
      <formula>$E32=""</formula>
    </cfRule>
  </conditionalFormatting>
  <conditionalFormatting sqref="H32">
    <cfRule type="expression" dxfId="9748" priority="2435">
      <formula>$C32&lt;$E$3</formula>
    </cfRule>
  </conditionalFormatting>
  <conditionalFormatting sqref="H32">
    <cfRule type="expression" dxfId="9747" priority="2434">
      <formula>$E32=""</formula>
    </cfRule>
  </conditionalFormatting>
  <conditionalFormatting sqref="H32">
    <cfRule type="expression" dxfId="9746" priority="2433">
      <formula>$C32&lt;$E$3</formula>
    </cfRule>
  </conditionalFormatting>
  <conditionalFormatting sqref="H32">
    <cfRule type="expression" dxfId="9745" priority="2432">
      <formula>$E32=""</formula>
    </cfRule>
  </conditionalFormatting>
  <conditionalFormatting sqref="H32">
    <cfRule type="expression" dxfId="9744" priority="2431">
      <formula>$C32&lt;$E$3</formula>
    </cfRule>
  </conditionalFormatting>
  <conditionalFormatting sqref="H32">
    <cfRule type="expression" dxfId="9743" priority="2430">
      <formula>$E32=""</formula>
    </cfRule>
  </conditionalFormatting>
  <conditionalFormatting sqref="F52:H52">
    <cfRule type="expression" dxfId="9742" priority="2927" stopIfTrue="1">
      <formula>$H$52=-1E-55</formula>
    </cfRule>
    <cfRule type="expression" dxfId="9741" priority="2928">
      <formula>$F52&gt;=$F53</formula>
    </cfRule>
  </conditionalFormatting>
  <conditionalFormatting sqref="H33:H37">
    <cfRule type="cellIs" dxfId="9740" priority="2343" stopIfTrue="1" operator="lessThan">
      <formula>0</formula>
    </cfRule>
  </conditionalFormatting>
  <conditionalFormatting sqref="H33:H37">
    <cfRule type="expression" dxfId="9739" priority="2347">
      <formula>$C33&lt;$E$3</formula>
    </cfRule>
  </conditionalFormatting>
  <conditionalFormatting sqref="H33:H37">
    <cfRule type="expression" dxfId="9738" priority="2344">
      <formula>$C33=$E$3</formula>
    </cfRule>
    <cfRule type="expression" dxfId="9737" priority="2345">
      <formula>$C33&lt;$E$3</formula>
    </cfRule>
    <cfRule type="cellIs" dxfId="9736" priority="2346" operator="equal">
      <formula>0</formula>
    </cfRule>
    <cfRule type="expression" dxfId="9735" priority="2348">
      <formula>$C33&gt;$E$3</formula>
    </cfRule>
  </conditionalFormatting>
  <conditionalFormatting sqref="H33:H37">
    <cfRule type="expression" dxfId="9734" priority="2342">
      <formula>$C33&lt;$E$3</formula>
    </cfRule>
  </conditionalFormatting>
  <conditionalFormatting sqref="H33:H37">
    <cfRule type="expression" dxfId="9733" priority="2338">
      <formula>$C33=$E$3</formula>
    </cfRule>
    <cfRule type="expression" dxfId="9732" priority="2339">
      <formula>$C33&lt;$E$3</formula>
    </cfRule>
    <cfRule type="cellIs" dxfId="9731" priority="2340" operator="equal">
      <formula>0</formula>
    </cfRule>
    <cfRule type="expression" dxfId="9730" priority="2341">
      <formula>$C33&gt;$E$3</formula>
    </cfRule>
  </conditionalFormatting>
  <conditionalFormatting sqref="H33:H37">
    <cfRule type="expression" dxfId="9729" priority="2337">
      <formula>$E33=""</formula>
    </cfRule>
  </conditionalFormatting>
  <conditionalFormatting sqref="H36">
    <cfRule type="expression" dxfId="9728" priority="2336">
      <formula>$E36=""</formula>
    </cfRule>
  </conditionalFormatting>
  <conditionalFormatting sqref="H33:H37">
    <cfRule type="expression" dxfId="9727" priority="2335">
      <formula>$C33&lt;$E$3</formula>
    </cfRule>
  </conditionalFormatting>
  <conditionalFormatting sqref="H33:H37">
    <cfRule type="expression" dxfId="9726" priority="2331">
      <formula>$C33=$E$3</formula>
    </cfRule>
    <cfRule type="expression" dxfId="9725" priority="2332">
      <formula>$C33&lt;$E$3</formula>
    </cfRule>
    <cfRule type="cellIs" dxfId="9724" priority="2333" operator="equal">
      <formula>0</formula>
    </cfRule>
    <cfRule type="expression" dxfId="9723" priority="2334">
      <formula>$C33&gt;$E$3</formula>
    </cfRule>
  </conditionalFormatting>
  <conditionalFormatting sqref="H33:H37">
    <cfRule type="expression" dxfId="9722" priority="2330">
      <formula>$C33&lt;$E$3</formula>
    </cfRule>
  </conditionalFormatting>
  <conditionalFormatting sqref="H33:H37">
    <cfRule type="expression" dxfId="9721" priority="2326">
      <formula>$C33=$E$3</formula>
    </cfRule>
    <cfRule type="expression" dxfId="9720" priority="2327">
      <formula>$C33&lt;$E$3</formula>
    </cfRule>
    <cfRule type="cellIs" dxfId="9719" priority="2328" operator="equal">
      <formula>0</formula>
    </cfRule>
    <cfRule type="expression" dxfId="9718" priority="2329">
      <formula>$C33&gt;$E$3</formula>
    </cfRule>
  </conditionalFormatting>
  <conditionalFormatting sqref="H33:H37">
    <cfRule type="expression" dxfId="9717" priority="2325">
      <formula>$E33=""</formula>
    </cfRule>
  </conditionalFormatting>
  <conditionalFormatting sqref="H33:H37">
    <cfRule type="expression" dxfId="9716" priority="2324">
      <formula>$C33&lt;$E$3</formula>
    </cfRule>
  </conditionalFormatting>
  <conditionalFormatting sqref="H33:H37">
    <cfRule type="expression" dxfId="9715" priority="2323">
      <formula>$E33=""</formula>
    </cfRule>
  </conditionalFormatting>
  <conditionalFormatting sqref="H33:H37">
    <cfRule type="expression" dxfId="9714" priority="2322">
      <formula>$E33=""</formula>
    </cfRule>
  </conditionalFormatting>
  <conditionalFormatting sqref="H33:H37">
    <cfRule type="expression" dxfId="9713" priority="2321">
      <formula>$C33&lt;$E$3</formula>
    </cfRule>
  </conditionalFormatting>
  <conditionalFormatting sqref="H33:H37">
    <cfRule type="expression" dxfId="9712" priority="2320">
      <formula>$E33=""</formula>
    </cfRule>
  </conditionalFormatting>
  <conditionalFormatting sqref="H33:H37">
    <cfRule type="expression" dxfId="9711" priority="2319">
      <formula>$C33&lt;$E$3</formula>
    </cfRule>
  </conditionalFormatting>
  <conditionalFormatting sqref="H33:H37">
    <cfRule type="expression" dxfId="9710" priority="2318">
      <formula>$E33=""</formula>
    </cfRule>
  </conditionalFormatting>
  <conditionalFormatting sqref="H33:H37">
    <cfRule type="expression" dxfId="9709" priority="2317">
      <formula>$C33&lt;$E$3</formula>
    </cfRule>
  </conditionalFormatting>
  <conditionalFormatting sqref="H33:H37">
    <cfRule type="expression" dxfId="9708" priority="2316">
      <formula>$E33=""</formula>
    </cfRule>
  </conditionalFormatting>
  <conditionalFormatting sqref="K50:K51">
    <cfRule type="expression" dxfId="9707" priority="700">
      <formula>$E50=""</formula>
    </cfRule>
  </conditionalFormatting>
  <conditionalFormatting sqref="K50:K51">
    <cfRule type="expression" dxfId="9706" priority="675">
      <formula>$E50=""</formula>
    </cfRule>
  </conditionalFormatting>
  <conditionalFormatting sqref="K50:K51">
    <cfRule type="expression" dxfId="9705" priority="674">
      <formula>$C50&lt;$E$3</formula>
    </cfRule>
  </conditionalFormatting>
  <conditionalFormatting sqref="K50:K51">
    <cfRule type="expression" dxfId="9704" priority="673">
      <formula>$E50=""</formula>
    </cfRule>
  </conditionalFormatting>
  <conditionalFormatting sqref="K50:K51">
    <cfRule type="expression" dxfId="9703" priority="645">
      <formula>$E50=""</formula>
    </cfRule>
  </conditionalFormatting>
  <conditionalFormatting sqref="K50:K51">
    <cfRule type="expression" dxfId="9702" priority="644">
      <formula>$C50&lt;$E$3</formula>
    </cfRule>
  </conditionalFormatting>
  <conditionalFormatting sqref="K50:K51">
    <cfRule type="expression" dxfId="9701" priority="643">
      <formula>$E50=""</formula>
    </cfRule>
  </conditionalFormatting>
  <conditionalFormatting sqref="K50:K51">
    <cfRule type="expression" dxfId="9700" priority="637">
      <formula>$C50&lt;$E$3</formula>
    </cfRule>
  </conditionalFormatting>
  <conditionalFormatting sqref="V50:W51 V5:W20 V23:W29 V32:W38 V41:W47">
    <cfRule type="cellIs" dxfId="9699" priority="1550" stopIfTrue="1" operator="lessThan">
      <formula>0</formula>
    </cfRule>
  </conditionalFormatting>
  <conditionalFormatting sqref="Q4:Q51 R5:R11 R14:R20 R23:R29 R32:R38 R41:R47 R50:R51 T50:U51 T41:U47 T32:U38 T23:U29 T14:U20 T5:U11">
    <cfRule type="cellIs" dxfId="9698" priority="1551" stopIfTrue="1" operator="lessThan">
      <formula>0</formula>
    </cfRule>
  </conditionalFormatting>
  <conditionalFormatting sqref="N5:N6 N9">
    <cfRule type="cellIs" dxfId="9697" priority="627" stopIfTrue="1" operator="lessThan">
      <formula>0</formula>
    </cfRule>
  </conditionalFormatting>
  <conditionalFormatting sqref="M14:M20 M32:M38 M41:M47 M23:M29">
    <cfRule type="expression" dxfId="9696" priority="589">
      <formula>$C14&lt;$E$3</formula>
    </cfRule>
  </conditionalFormatting>
  <conditionalFormatting sqref="M14:M20 M32:M38 M41:M47 M23:M29">
    <cfRule type="expression" dxfId="9695" priority="587">
      <formula>$C14&lt;$E$3</formula>
    </cfRule>
  </conditionalFormatting>
  <conditionalFormatting sqref="M14:M20 M32:M38 M41:M47 M23:M29">
    <cfRule type="expression" dxfId="9694" priority="559">
      <formula>$C14&lt;$E$3</formula>
    </cfRule>
  </conditionalFormatting>
  <conditionalFormatting sqref="K19">
    <cfRule type="expression" dxfId="9693" priority="519">
      <formula>$C19&lt;$E$3</formula>
    </cfRule>
  </conditionalFormatting>
  <conditionalFormatting sqref="K19">
    <cfRule type="expression" dxfId="9692" priority="517">
      <formula>$C19&lt;$E$3</formula>
    </cfRule>
  </conditionalFormatting>
  <conditionalFormatting sqref="K19">
    <cfRule type="expression" dxfId="9691" priority="489">
      <formula>$C19&lt;$E$3</formula>
    </cfRule>
  </conditionalFormatting>
  <conditionalFormatting sqref="K14:K18">
    <cfRule type="expression" dxfId="9690" priority="487">
      <formula>$C14&lt;$E$3</formula>
    </cfRule>
  </conditionalFormatting>
  <conditionalFormatting sqref="K14:K18">
    <cfRule type="expression" dxfId="9689" priority="459">
      <formula>$C14&lt;$E$3</formula>
    </cfRule>
  </conditionalFormatting>
  <conditionalFormatting sqref="K14:K18">
    <cfRule type="expression" dxfId="9688" priority="457">
      <formula>$C14&lt;$E$3</formula>
    </cfRule>
  </conditionalFormatting>
  <conditionalFormatting sqref="K14:K18">
    <cfRule type="expression" dxfId="9687" priority="429">
      <formula>$C14&lt;$E$3</formula>
    </cfRule>
  </conditionalFormatting>
  <conditionalFormatting sqref="K28">
    <cfRule type="expression" dxfId="9686" priority="382">
      <formula>$C28&lt;$E$3</formula>
    </cfRule>
  </conditionalFormatting>
  <conditionalFormatting sqref="K28">
    <cfRule type="expression" dxfId="9685" priority="380">
      <formula>$C28&lt;$E$3</formula>
    </cfRule>
  </conditionalFormatting>
  <conditionalFormatting sqref="K28">
    <cfRule type="expression" dxfId="9684" priority="352">
      <formula>$C28&lt;$E$3</formula>
    </cfRule>
  </conditionalFormatting>
  <conditionalFormatting sqref="K23:K27">
    <cfRule type="expression" dxfId="9683" priority="350">
      <formula>$C23&lt;$E$3</formula>
    </cfRule>
  </conditionalFormatting>
  <conditionalFormatting sqref="K23:K27">
    <cfRule type="expression" dxfId="9682" priority="322">
      <formula>$C23&lt;$E$3</formula>
    </cfRule>
  </conditionalFormatting>
  <conditionalFormatting sqref="K23:K27">
    <cfRule type="expression" dxfId="9681" priority="320">
      <formula>$C23&lt;$E$3</formula>
    </cfRule>
  </conditionalFormatting>
  <conditionalFormatting sqref="K23:K27">
    <cfRule type="expression" dxfId="9680" priority="292">
      <formula>$C23&lt;$E$3</formula>
    </cfRule>
  </conditionalFormatting>
  <conditionalFormatting sqref="K37">
    <cfRule type="expression" dxfId="9679" priority="245">
      <formula>$C37&lt;$E$3</formula>
    </cfRule>
  </conditionalFormatting>
  <conditionalFormatting sqref="K37">
    <cfRule type="expression" dxfId="9678" priority="243">
      <formula>$C37&lt;$E$3</formula>
    </cfRule>
  </conditionalFormatting>
  <conditionalFormatting sqref="K37">
    <cfRule type="expression" dxfId="9677" priority="215">
      <formula>$C37&lt;$E$3</formula>
    </cfRule>
  </conditionalFormatting>
  <conditionalFormatting sqref="K32:K36">
    <cfRule type="expression" dxfId="9676" priority="213">
      <formula>$C32&lt;$E$3</formula>
    </cfRule>
  </conditionalFormatting>
  <conditionalFormatting sqref="K32:K36">
    <cfRule type="expression" dxfId="9675" priority="185">
      <formula>$C32&lt;$E$3</formula>
    </cfRule>
  </conditionalFormatting>
  <conditionalFormatting sqref="K32:K36">
    <cfRule type="expression" dxfId="9674" priority="183">
      <formula>$C32&lt;$E$3</formula>
    </cfRule>
  </conditionalFormatting>
  <conditionalFormatting sqref="K32:K36">
    <cfRule type="expression" dxfId="9673" priority="155">
      <formula>$C32&lt;$E$3</formula>
    </cfRule>
  </conditionalFormatting>
  <conditionalFormatting sqref="K46">
    <cfRule type="expression" dxfId="9672" priority="108">
      <formula>$C46&lt;$E$3</formula>
    </cfRule>
  </conditionalFormatting>
  <conditionalFormatting sqref="K46">
    <cfRule type="expression" dxfId="9671" priority="106">
      <formula>$C46&lt;$E$3</formula>
    </cfRule>
  </conditionalFormatting>
  <conditionalFormatting sqref="K46">
    <cfRule type="expression" dxfId="9670" priority="78">
      <formula>$C46&lt;$E$3</formula>
    </cfRule>
  </conditionalFormatting>
  <conditionalFormatting sqref="K41:K45">
    <cfRule type="expression" dxfId="9669" priority="76">
      <formula>$C41&lt;$E$3</formula>
    </cfRule>
  </conditionalFormatting>
  <conditionalFormatting sqref="K41:K45">
    <cfRule type="expression" dxfId="9668" priority="48">
      <formula>$C41&lt;$E$3</formula>
    </cfRule>
  </conditionalFormatting>
  <conditionalFormatting sqref="K41:K45">
    <cfRule type="expression" dxfId="9667" priority="46">
      <formula>$C41&lt;$E$3</formula>
    </cfRule>
  </conditionalFormatting>
  <conditionalFormatting sqref="K41:K45">
    <cfRule type="expression" dxfId="9666" priority="18">
      <formula>$C41&lt;$E$3</formula>
    </cfRule>
  </conditionalFormatting>
  <conditionalFormatting sqref="N29">
    <cfRule type="cellIs" dxfId="9665" priority="4" stopIfTrue="1" operator="lessThan">
      <formula>0</formula>
    </cfRule>
  </conditionalFormatting>
  <conditionalFormatting sqref="N25">
    <cfRule type="cellIs" dxfId="9664" priority="3" stopIfTrue="1" operator="lessThan">
      <formula>0</formula>
    </cfRule>
  </conditionalFormatting>
  <conditionalFormatting sqref="N26">
    <cfRule type="cellIs" dxfId="9663" priority="2" stopIfTrue="1" operator="lessThan">
      <formula>0</formula>
    </cfRule>
  </conditionalFormatting>
  <conditionalFormatting sqref="N24">
    <cfRule type="cellIs" dxfId="9662" priority="1" stopIfTrue="1" operator="lessThan">
      <formula>0</formula>
    </cfRule>
  </conditionalFormatting>
  <conditionalFormatting sqref="K5:K11 K50:K51">
    <cfRule type="cellIs" dxfId="9661" priority="922" stopIfTrue="1" operator="lessThan">
      <formula>0</formula>
    </cfRule>
  </conditionalFormatting>
  <conditionalFormatting sqref="K5:K11 K50:K51">
    <cfRule type="expression" dxfId="9660" priority="920">
      <formula>$C5&lt;$E$3</formula>
    </cfRule>
  </conditionalFormatting>
  <conditionalFormatting sqref="K5:K11 K50:K51">
    <cfRule type="expression" dxfId="9659" priority="917">
      <formula>$C5=$E$3</formula>
    </cfRule>
    <cfRule type="expression" dxfId="9658" priority="918">
      <formula>$C5&lt;$E$3</formula>
    </cfRule>
    <cfRule type="cellIs" dxfId="9657" priority="919" operator="equal">
      <formula>0</formula>
    </cfRule>
    <cfRule type="expression" dxfId="9656" priority="921">
      <formula>$C5&gt;$E$3</formula>
    </cfRule>
  </conditionalFormatting>
  <conditionalFormatting sqref="K5:K11 K50:K51">
    <cfRule type="expression" dxfId="9655" priority="916">
      <formula>$E5=""</formula>
    </cfRule>
  </conditionalFormatting>
  <conditionalFormatting sqref="K5:K11 K50:K51">
    <cfRule type="expression" dxfId="9654" priority="915">
      <formula>$E5=""</formula>
    </cfRule>
  </conditionalFormatting>
  <conditionalFormatting sqref="K5:K11 K50:K51">
    <cfRule type="expression" dxfId="9653" priority="914">
      <formula>$E5=""</formula>
    </cfRule>
  </conditionalFormatting>
  <conditionalFormatting sqref="J5:J11 J50:J51 L5:M11 L50:N51">
    <cfRule type="cellIs" dxfId="9652" priority="913" stopIfTrue="1" operator="lessThan">
      <formula>0</formula>
    </cfRule>
  </conditionalFormatting>
  <conditionalFormatting sqref="J5:J11 J50:J51 L5:M11 L50:M51">
    <cfRule type="expression" dxfId="9651" priority="911">
      <formula>$C5&lt;$E$3</formula>
    </cfRule>
  </conditionalFormatting>
  <conditionalFormatting sqref="J5:J11 J50:J51 L5:M11 L50:M51">
    <cfRule type="expression" dxfId="9650" priority="908">
      <formula>$C5=$E$3</formula>
    </cfRule>
    <cfRule type="expression" dxfId="9649" priority="909">
      <formula>$C5&lt;$E$3</formula>
    </cfRule>
    <cfRule type="cellIs" dxfId="9648" priority="910" operator="equal">
      <formula>0</formula>
    </cfRule>
    <cfRule type="expression" dxfId="9647" priority="912">
      <formula>$C5&gt;$E$3</formula>
    </cfRule>
  </conditionalFormatting>
  <conditionalFormatting sqref="J5:J11 J50:J51 L5:M11 L50:M51">
    <cfRule type="expression" dxfId="9646" priority="907">
      <formula>$E5=""</formula>
    </cfRule>
  </conditionalFormatting>
  <conditionalFormatting sqref="J5:J11 J50:J51 L5:M11 L50:M51">
    <cfRule type="expression" dxfId="9645" priority="906">
      <formula>$E5=""</formula>
    </cfRule>
  </conditionalFormatting>
  <conditionalFormatting sqref="J5:J11 J50:J51 L5:M11 L50:M51">
    <cfRule type="expression" dxfId="9644" priority="905">
      <formula>$E5=""</formula>
    </cfRule>
  </conditionalFormatting>
  <conditionalFormatting sqref="M5:M11 M50:M51">
    <cfRule type="expression" dxfId="9643" priority="904">
      <formula>$C5&lt;$E$3</formula>
    </cfRule>
  </conditionalFormatting>
  <conditionalFormatting sqref="M5:M11 M50:M51">
    <cfRule type="expression" dxfId="9642" priority="900">
      <formula>$C5=$E$3</formula>
    </cfRule>
    <cfRule type="expression" dxfId="9641" priority="901">
      <formula>$C5&lt;$E$3</formula>
    </cfRule>
    <cfRule type="cellIs" dxfId="9640" priority="902" operator="equal">
      <formula>0</formula>
    </cfRule>
    <cfRule type="expression" dxfId="9639" priority="903">
      <formula>$C5&gt;$E$3</formula>
    </cfRule>
  </conditionalFormatting>
  <conditionalFormatting sqref="M5:M11 M50:M51">
    <cfRule type="expression" dxfId="9638" priority="899">
      <formula>$C5&lt;$E$3</formula>
    </cfRule>
  </conditionalFormatting>
  <conditionalFormatting sqref="M5:M11 M50:M51">
    <cfRule type="expression" dxfId="9637" priority="895">
      <formula>$C5=$E$3</formula>
    </cfRule>
    <cfRule type="expression" dxfId="9636" priority="896">
      <formula>$C5&lt;$E$3</formula>
    </cfRule>
    <cfRule type="cellIs" dxfId="9635" priority="897" operator="equal">
      <formula>0</formula>
    </cfRule>
    <cfRule type="expression" dxfId="9634" priority="898">
      <formula>$C5&gt;$E$3</formula>
    </cfRule>
  </conditionalFormatting>
  <conditionalFormatting sqref="M5:M11 M50:M51">
    <cfRule type="expression" dxfId="9633" priority="894">
      <formula>$C5&lt;$E$3</formula>
    </cfRule>
  </conditionalFormatting>
  <conditionalFormatting sqref="M5:M11 M50:M51">
    <cfRule type="expression" dxfId="9632" priority="890">
      <formula>$C5=$E$3</formula>
    </cfRule>
    <cfRule type="expression" dxfId="9631" priority="891">
      <formula>$C5&lt;$E$3</formula>
    </cfRule>
    <cfRule type="cellIs" dxfId="9630" priority="892" operator="equal">
      <formula>0</formula>
    </cfRule>
    <cfRule type="expression" dxfId="9629" priority="893">
      <formula>$C5&gt;$E$3</formula>
    </cfRule>
  </conditionalFormatting>
  <conditionalFormatting sqref="M5:M11 M50:M51">
    <cfRule type="expression" dxfId="9628" priority="889">
      <formula>$C5&lt;$E$3</formula>
    </cfRule>
  </conditionalFormatting>
  <conditionalFormatting sqref="M5:M11 M50:M51">
    <cfRule type="expression" dxfId="9627" priority="885">
      <formula>$C5=$E$3</formula>
    </cfRule>
    <cfRule type="expression" dxfId="9626" priority="886">
      <formula>$C5&lt;$E$3</formula>
    </cfRule>
    <cfRule type="cellIs" dxfId="9625" priority="887" operator="equal">
      <formula>0</formula>
    </cfRule>
    <cfRule type="expression" dxfId="9624" priority="888">
      <formula>$C5&gt;$E$3</formula>
    </cfRule>
  </conditionalFormatting>
  <conditionalFormatting sqref="M5:M11 M50:M51">
    <cfRule type="expression" dxfId="9623" priority="884">
      <formula>$E5=""</formula>
    </cfRule>
  </conditionalFormatting>
  <conditionalFormatting sqref="M5:M11 M50:M51">
    <cfRule type="expression" dxfId="9622" priority="883">
      <formula>$C5&lt;$E$3</formula>
    </cfRule>
  </conditionalFormatting>
  <conditionalFormatting sqref="M5:M11 M50:M51">
    <cfRule type="expression" dxfId="9621" priority="882">
      <formula>$E5=""</formula>
    </cfRule>
  </conditionalFormatting>
  <conditionalFormatting sqref="M5:M11 M50:M51">
    <cfRule type="expression" dxfId="9620" priority="881">
      <formula>$E5=""</formula>
    </cfRule>
  </conditionalFormatting>
  <conditionalFormatting sqref="M5:M11 M50:M51">
    <cfRule type="expression" dxfId="9619" priority="880">
      <formula>$C5&lt;$E$3</formula>
    </cfRule>
  </conditionalFormatting>
  <conditionalFormatting sqref="M5:M11 M50:M51">
    <cfRule type="expression" dxfId="9618" priority="879">
      <formula>$E5=""</formula>
    </cfRule>
  </conditionalFormatting>
  <conditionalFormatting sqref="M5:M11 M50:M51">
    <cfRule type="expression" dxfId="9617" priority="878">
      <formula>$C5&lt;$E$3</formula>
    </cfRule>
  </conditionalFormatting>
  <conditionalFormatting sqref="M5:M11 M50:M51">
    <cfRule type="expression" dxfId="9616" priority="877">
      <formula>$E5=""</formula>
    </cfRule>
  </conditionalFormatting>
  <conditionalFormatting sqref="M5:M11 M50:M51">
    <cfRule type="expression" dxfId="9615" priority="876">
      <formula>$C5&lt;$E$3</formula>
    </cfRule>
  </conditionalFormatting>
  <conditionalFormatting sqref="M5:M11 M50:M51">
    <cfRule type="expression" dxfId="9614" priority="875">
      <formula>$E5=""</formula>
    </cfRule>
  </conditionalFormatting>
  <conditionalFormatting sqref="M5:M11 M50:M51">
    <cfRule type="expression" dxfId="9613" priority="874">
      <formula>$C5&lt;$E$3</formula>
    </cfRule>
  </conditionalFormatting>
  <conditionalFormatting sqref="M5:M11 M50:M51">
    <cfRule type="expression" dxfId="9612" priority="870">
      <formula>$C5=$E$3</formula>
    </cfRule>
    <cfRule type="expression" dxfId="9611" priority="871">
      <formula>$C5&lt;$E$3</formula>
    </cfRule>
    <cfRule type="cellIs" dxfId="9610" priority="872" operator="equal">
      <formula>0</formula>
    </cfRule>
    <cfRule type="expression" dxfId="9609" priority="873">
      <formula>$C5&gt;$E$3</formula>
    </cfRule>
  </conditionalFormatting>
  <conditionalFormatting sqref="M5:M11 M50:M51">
    <cfRule type="expression" dxfId="9608" priority="869">
      <formula>$C5&lt;$E$3</formula>
    </cfRule>
  </conditionalFormatting>
  <conditionalFormatting sqref="M5:M11 M50:M51">
    <cfRule type="expression" dxfId="9607" priority="865">
      <formula>$C5=$E$3</formula>
    </cfRule>
    <cfRule type="expression" dxfId="9606" priority="866">
      <formula>$C5&lt;$E$3</formula>
    </cfRule>
    <cfRule type="cellIs" dxfId="9605" priority="867" operator="equal">
      <formula>0</formula>
    </cfRule>
    <cfRule type="expression" dxfId="9604" priority="868">
      <formula>$C5&gt;$E$3</formula>
    </cfRule>
  </conditionalFormatting>
  <conditionalFormatting sqref="M5:M11 M50:M51">
    <cfRule type="expression" dxfId="9603" priority="864">
      <formula>$C5&lt;$E$3</formula>
    </cfRule>
  </conditionalFormatting>
  <conditionalFormatting sqref="M5:M11 M50:M51">
    <cfRule type="expression" dxfId="9602" priority="860">
      <formula>$C5=$E$3</formula>
    </cfRule>
    <cfRule type="expression" dxfId="9601" priority="861">
      <formula>$C5&lt;$E$3</formula>
    </cfRule>
    <cfRule type="cellIs" dxfId="9600" priority="862" operator="equal">
      <formula>0</formula>
    </cfRule>
    <cfRule type="expression" dxfId="9599" priority="863">
      <formula>$C5&gt;$E$3</formula>
    </cfRule>
  </conditionalFormatting>
  <conditionalFormatting sqref="M5:M11 M50:M51">
    <cfRule type="expression" dxfId="9598" priority="859">
      <formula>$C5&lt;$E$3</formula>
    </cfRule>
  </conditionalFormatting>
  <conditionalFormatting sqref="M5:M11 M50:M51">
    <cfRule type="expression" dxfId="9597" priority="855">
      <formula>$C5=$E$3</formula>
    </cfRule>
    <cfRule type="expression" dxfId="9596" priority="856">
      <formula>$C5&lt;$E$3</formula>
    </cfRule>
    <cfRule type="cellIs" dxfId="9595" priority="857" operator="equal">
      <formula>0</formula>
    </cfRule>
    <cfRule type="expression" dxfId="9594" priority="858">
      <formula>$C5&gt;$E$3</formula>
    </cfRule>
  </conditionalFormatting>
  <conditionalFormatting sqref="M5:M11 M50:M51">
    <cfRule type="expression" dxfId="9593" priority="854">
      <formula>$E5=""</formula>
    </cfRule>
  </conditionalFormatting>
  <conditionalFormatting sqref="M5:M11 M50:M51">
    <cfRule type="expression" dxfId="9592" priority="853">
      <formula>$C5&lt;$E$3</formula>
    </cfRule>
  </conditionalFormatting>
  <conditionalFormatting sqref="M5:M11 M50:M51">
    <cfRule type="expression" dxfId="9591" priority="852">
      <formula>$E5=""</formula>
    </cfRule>
  </conditionalFormatting>
  <conditionalFormatting sqref="M5:M11 M50:M51">
    <cfRule type="expression" dxfId="9590" priority="851">
      <formula>$E5=""</formula>
    </cfRule>
  </conditionalFormatting>
  <conditionalFormatting sqref="M5:M11 M50:M51">
    <cfRule type="expression" dxfId="9589" priority="850">
      <formula>$C5&lt;$E$3</formula>
    </cfRule>
  </conditionalFormatting>
  <conditionalFormatting sqref="M5:M11 M50:M51">
    <cfRule type="expression" dxfId="9588" priority="849">
      <formula>$E5=""</formula>
    </cfRule>
  </conditionalFormatting>
  <conditionalFormatting sqref="M5:M11 M50:M51">
    <cfRule type="expression" dxfId="9587" priority="848">
      <formula>$C5&lt;$E$3</formula>
    </cfRule>
  </conditionalFormatting>
  <conditionalFormatting sqref="M5:M11 M50:M51">
    <cfRule type="expression" dxfId="9586" priority="847">
      <formula>$E5=""</formula>
    </cfRule>
  </conditionalFormatting>
  <conditionalFormatting sqref="M5:M11 M50:M51">
    <cfRule type="expression" dxfId="9585" priority="846">
      <formula>$C5&lt;$E$3</formula>
    </cfRule>
  </conditionalFormatting>
  <conditionalFormatting sqref="M5:M11 M50:M51">
    <cfRule type="expression" dxfId="9584" priority="845">
      <formula>$E5=""</formula>
    </cfRule>
  </conditionalFormatting>
  <conditionalFormatting sqref="K10">
    <cfRule type="expression" dxfId="9583" priority="844">
      <formula>$C10&lt;$E$3</formula>
    </cfRule>
  </conditionalFormatting>
  <conditionalFormatting sqref="K10">
    <cfRule type="expression" dxfId="9582" priority="840">
      <formula>$C10=$E$3</formula>
    </cfRule>
    <cfRule type="expression" dxfId="9581" priority="841">
      <formula>$C10&lt;$E$3</formula>
    </cfRule>
    <cfRule type="cellIs" dxfId="9580" priority="842" operator="equal">
      <formula>0</formula>
    </cfRule>
    <cfRule type="expression" dxfId="9579" priority="843">
      <formula>$C10&gt;$E$3</formula>
    </cfRule>
  </conditionalFormatting>
  <conditionalFormatting sqref="K10">
    <cfRule type="expression" dxfId="9578" priority="839">
      <formula>$C10&lt;$E$3</formula>
    </cfRule>
  </conditionalFormatting>
  <conditionalFormatting sqref="K10">
    <cfRule type="expression" dxfId="9577" priority="835">
      <formula>$C10=$E$3</formula>
    </cfRule>
    <cfRule type="expression" dxfId="9576" priority="836">
      <formula>$C10&lt;$E$3</formula>
    </cfRule>
    <cfRule type="cellIs" dxfId="9575" priority="837" operator="equal">
      <formula>0</formula>
    </cfRule>
    <cfRule type="expression" dxfId="9574" priority="838">
      <formula>$C10&gt;$E$3</formula>
    </cfRule>
  </conditionalFormatting>
  <conditionalFormatting sqref="K10">
    <cfRule type="expression" dxfId="9573" priority="834">
      <formula>$C10&lt;$E$3</formula>
    </cfRule>
  </conditionalFormatting>
  <conditionalFormatting sqref="K10">
    <cfRule type="expression" dxfId="9572" priority="830">
      <formula>$C10=$E$3</formula>
    </cfRule>
    <cfRule type="expression" dxfId="9571" priority="831">
      <formula>$C10&lt;$E$3</formula>
    </cfRule>
    <cfRule type="cellIs" dxfId="9570" priority="832" operator="equal">
      <formula>0</formula>
    </cfRule>
    <cfRule type="expression" dxfId="9569" priority="833">
      <formula>$C10&gt;$E$3</formula>
    </cfRule>
  </conditionalFormatting>
  <conditionalFormatting sqref="K10">
    <cfRule type="expression" dxfId="9568" priority="829">
      <formula>$C10&lt;$E$3</formula>
    </cfRule>
  </conditionalFormatting>
  <conditionalFormatting sqref="K10">
    <cfRule type="expression" dxfId="9567" priority="825">
      <formula>$C10=$E$3</formula>
    </cfRule>
    <cfRule type="expression" dxfId="9566" priority="826">
      <formula>$C10&lt;$E$3</formula>
    </cfRule>
    <cfRule type="cellIs" dxfId="9565" priority="827" operator="equal">
      <formula>0</formula>
    </cfRule>
    <cfRule type="expression" dxfId="9564" priority="828">
      <formula>$C10&gt;$E$3</formula>
    </cfRule>
  </conditionalFormatting>
  <conditionalFormatting sqref="K10">
    <cfRule type="expression" dxfId="9563" priority="824">
      <formula>$E10=""</formula>
    </cfRule>
  </conditionalFormatting>
  <conditionalFormatting sqref="K10">
    <cfRule type="expression" dxfId="9562" priority="823">
      <formula>$C10&lt;$E$3</formula>
    </cfRule>
  </conditionalFormatting>
  <conditionalFormatting sqref="K10">
    <cfRule type="expression" dxfId="9561" priority="822">
      <formula>$E10=""</formula>
    </cfRule>
  </conditionalFormatting>
  <conditionalFormatting sqref="K10">
    <cfRule type="expression" dxfId="9560" priority="821">
      <formula>$E10=""</formula>
    </cfRule>
  </conditionalFormatting>
  <conditionalFormatting sqref="K10">
    <cfRule type="expression" dxfId="9559" priority="820">
      <formula>$C10&lt;$E$3</formula>
    </cfRule>
  </conditionalFormatting>
  <conditionalFormatting sqref="K10">
    <cfRule type="expression" dxfId="9558" priority="819">
      <formula>$E10=""</formula>
    </cfRule>
  </conditionalFormatting>
  <conditionalFormatting sqref="K10">
    <cfRule type="expression" dxfId="9557" priority="818">
      <formula>$C10&lt;$E$3</formula>
    </cfRule>
  </conditionalFormatting>
  <conditionalFormatting sqref="K10">
    <cfRule type="expression" dxfId="9556" priority="817">
      <formula>$E10=""</formula>
    </cfRule>
  </conditionalFormatting>
  <conditionalFormatting sqref="K10">
    <cfRule type="expression" dxfId="9555" priority="816">
      <formula>$C10&lt;$E$3</formula>
    </cfRule>
  </conditionalFormatting>
  <conditionalFormatting sqref="K10">
    <cfRule type="expression" dxfId="9554" priority="815">
      <formula>$E10=""</formula>
    </cfRule>
  </conditionalFormatting>
  <conditionalFormatting sqref="K10">
    <cfRule type="expression" dxfId="9553" priority="814">
      <formula>$C10&lt;$E$3</formula>
    </cfRule>
  </conditionalFormatting>
  <conditionalFormatting sqref="K10">
    <cfRule type="expression" dxfId="9552" priority="810">
      <formula>$C10=$E$3</formula>
    </cfRule>
    <cfRule type="expression" dxfId="9551" priority="811">
      <formula>$C10&lt;$E$3</formula>
    </cfRule>
    <cfRule type="cellIs" dxfId="9550" priority="812" operator="equal">
      <formula>0</formula>
    </cfRule>
    <cfRule type="expression" dxfId="9549" priority="813">
      <formula>$C10&gt;$E$3</formula>
    </cfRule>
  </conditionalFormatting>
  <conditionalFormatting sqref="K10">
    <cfRule type="expression" dxfId="9548" priority="809">
      <formula>$C10&lt;$E$3</formula>
    </cfRule>
  </conditionalFormatting>
  <conditionalFormatting sqref="K10">
    <cfRule type="expression" dxfId="9547" priority="805">
      <formula>$C10=$E$3</formula>
    </cfRule>
    <cfRule type="expression" dxfId="9546" priority="806">
      <formula>$C10&lt;$E$3</formula>
    </cfRule>
    <cfRule type="cellIs" dxfId="9545" priority="807" operator="equal">
      <formula>0</formula>
    </cfRule>
    <cfRule type="expression" dxfId="9544" priority="808">
      <formula>$C10&gt;$E$3</formula>
    </cfRule>
  </conditionalFormatting>
  <conditionalFormatting sqref="K10">
    <cfRule type="expression" dxfId="9543" priority="804">
      <formula>$C10&lt;$E$3</formula>
    </cfRule>
  </conditionalFormatting>
  <conditionalFormatting sqref="K10">
    <cfRule type="expression" dxfId="9542" priority="800">
      <formula>$C10=$E$3</formula>
    </cfRule>
    <cfRule type="expression" dxfId="9541" priority="801">
      <formula>$C10&lt;$E$3</formula>
    </cfRule>
    <cfRule type="cellIs" dxfId="9540" priority="802" operator="equal">
      <formula>0</formula>
    </cfRule>
    <cfRule type="expression" dxfId="9539" priority="803">
      <formula>$C10&gt;$E$3</formula>
    </cfRule>
  </conditionalFormatting>
  <conditionalFormatting sqref="K10">
    <cfRule type="expression" dxfId="9538" priority="799">
      <formula>$C10&lt;$E$3</formula>
    </cfRule>
  </conditionalFormatting>
  <conditionalFormatting sqref="K10">
    <cfRule type="expression" dxfId="9537" priority="795">
      <formula>$C10=$E$3</formula>
    </cfRule>
    <cfRule type="expression" dxfId="9536" priority="796">
      <formula>$C10&lt;$E$3</formula>
    </cfRule>
    <cfRule type="cellIs" dxfId="9535" priority="797" operator="equal">
      <formula>0</formula>
    </cfRule>
    <cfRule type="expression" dxfId="9534" priority="798">
      <formula>$C10&gt;$E$3</formula>
    </cfRule>
  </conditionalFormatting>
  <conditionalFormatting sqref="K10">
    <cfRule type="expression" dxfId="9533" priority="794">
      <formula>$E10=""</formula>
    </cfRule>
  </conditionalFormatting>
  <conditionalFormatting sqref="K10">
    <cfRule type="expression" dxfId="9532" priority="793">
      <formula>$C10&lt;$E$3</formula>
    </cfRule>
  </conditionalFormatting>
  <conditionalFormatting sqref="K10">
    <cfRule type="expression" dxfId="9531" priority="792">
      <formula>$E10=""</formula>
    </cfRule>
  </conditionalFormatting>
  <conditionalFormatting sqref="K10">
    <cfRule type="expression" dxfId="9530" priority="791">
      <formula>$E10=""</formula>
    </cfRule>
  </conditionalFormatting>
  <conditionalFormatting sqref="K10">
    <cfRule type="expression" dxfId="9529" priority="790">
      <formula>$C10&lt;$E$3</formula>
    </cfRule>
  </conditionalFormatting>
  <conditionalFormatting sqref="K10">
    <cfRule type="expression" dxfId="9528" priority="789">
      <formula>$E10=""</formula>
    </cfRule>
  </conditionalFormatting>
  <conditionalFormatting sqref="K10">
    <cfRule type="expression" dxfId="9527" priority="788">
      <formula>$C10&lt;$E$3</formula>
    </cfRule>
  </conditionalFormatting>
  <conditionalFormatting sqref="K10">
    <cfRule type="expression" dxfId="9526" priority="787">
      <formula>$E10=""</formula>
    </cfRule>
  </conditionalFormatting>
  <conditionalFormatting sqref="K10">
    <cfRule type="expression" dxfId="9525" priority="786">
      <formula>$C10&lt;$E$3</formula>
    </cfRule>
  </conditionalFormatting>
  <conditionalFormatting sqref="K10">
    <cfRule type="expression" dxfId="9524" priority="785">
      <formula>$E10=""</formula>
    </cfRule>
  </conditionalFormatting>
  <conditionalFormatting sqref="K5:K9">
    <cfRule type="expression" dxfId="9523" priority="784">
      <formula>$C5&lt;$E$3</formula>
    </cfRule>
  </conditionalFormatting>
  <conditionalFormatting sqref="K5:K9">
    <cfRule type="expression" dxfId="9522" priority="780">
      <formula>$C5=$E$3</formula>
    </cfRule>
    <cfRule type="expression" dxfId="9521" priority="781">
      <formula>$C5&lt;$E$3</formula>
    </cfRule>
    <cfRule type="cellIs" dxfId="9520" priority="782" operator="equal">
      <formula>0</formula>
    </cfRule>
    <cfRule type="expression" dxfId="9519" priority="783">
      <formula>$C5&gt;$E$3</formula>
    </cfRule>
  </conditionalFormatting>
  <conditionalFormatting sqref="K5:K9">
    <cfRule type="expression" dxfId="9518" priority="779">
      <formula>$C5&lt;$E$3</formula>
    </cfRule>
  </conditionalFormatting>
  <conditionalFormatting sqref="K5:K9">
    <cfRule type="expression" dxfId="9517" priority="775">
      <formula>$C5=$E$3</formula>
    </cfRule>
    <cfRule type="expression" dxfId="9516" priority="776">
      <formula>$C5&lt;$E$3</formula>
    </cfRule>
    <cfRule type="cellIs" dxfId="9515" priority="777" operator="equal">
      <formula>0</formula>
    </cfRule>
    <cfRule type="expression" dxfId="9514" priority="778">
      <formula>$C5&gt;$E$3</formula>
    </cfRule>
  </conditionalFormatting>
  <conditionalFormatting sqref="K5:K9">
    <cfRule type="expression" dxfId="9513" priority="774">
      <formula>$C5&lt;$E$3</formula>
    </cfRule>
  </conditionalFormatting>
  <conditionalFormatting sqref="K5:K9">
    <cfRule type="expression" dxfId="9512" priority="770">
      <formula>$C5=$E$3</formula>
    </cfRule>
    <cfRule type="expression" dxfId="9511" priority="771">
      <formula>$C5&lt;$E$3</formula>
    </cfRule>
    <cfRule type="cellIs" dxfId="9510" priority="772" operator="equal">
      <formula>0</formula>
    </cfRule>
    <cfRule type="expression" dxfId="9509" priority="773">
      <formula>$C5&gt;$E$3</formula>
    </cfRule>
  </conditionalFormatting>
  <conditionalFormatting sqref="K5:K9">
    <cfRule type="expression" dxfId="9508" priority="769">
      <formula>$C5&lt;$E$3</formula>
    </cfRule>
  </conditionalFormatting>
  <conditionalFormatting sqref="K5:K9">
    <cfRule type="expression" dxfId="9507" priority="765">
      <formula>$C5=$E$3</formula>
    </cfRule>
    <cfRule type="expression" dxfId="9506" priority="766">
      <formula>$C5&lt;$E$3</formula>
    </cfRule>
    <cfRule type="cellIs" dxfId="9505" priority="767" operator="equal">
      <formula>0</formula>
    </cfRule>
    <cfRule type="expression" dxfId="9504" priority="768">
      <formula>$C5&gt;$E$3</formula>
    </cfRule>
  </conditionalFormatting>
  <conditionalFormatting sqref="K5:K9">
    <cfRule type="expression" dxfId="9503" priority="764">
      <formula>$E5=""</formula>
    </cfRule>
  </conditionalFormatting>
  <conditionalFormatting sqref="K5:K9">
    <cfRule type="expression" dxfId="9502" priority="763">
      <formula>$C5&lt;$E$3</formula>
    </cfRule>
  </conditionalFormatting>
  <conditionalFormatting sqref="K5:K9">
    <cfRule type="expression" dxfId="9501" priority="762">
      <formula>$E5=""</formula>
    </cfRule>
  </conditionalFormatting>
  <conditionalFormatting sqref="K5:K9">
    <cfRule type="expression" dxfId="9500" priority="761">
      <formula>$E5=""</formula>
    </cfRule>
  </conditionalFormatting>
  <conditionalFormatting sqref="K5:K9">
    <cfRule type="expression" dxfId="9499" priority="760">
      <formula>$C5&lt;$E$3</formula>
    </cfRule>
  </conditionalFormatting>
  <conditionalFormatting sqref="K5:K9">
    <cfRule type="expression" dxfId="9498" priority="759">
      <formula>$E5=""</formula>
    </cfRule>
  </conditionalFormatting>
  <conditionalFormatting sqref="K5:K9">
    <cfRule type="expression" dxfId="9497" priority="758">
      <formula>$C5&lt;$E$3</formula>
    </cfRule>
  </conditionalFormatting>
  <conditionalFormatting sqref="K5:K9">
    <cfRule type="expression" dxfId="9496" priority="757">
      <formula>$E5=""</formula>
    </cfRule>
  </conditionalFormatting>
  <conditionalFormatting sqref="K5:K9">
    <cfRule type="expression" dxfId="9495" priority="756">
      <formula>$C5&lt;$E$3</formula>
    </cfRule>
  </conditionalFormatting>
  <conditionalFormatting sqref="K5:K9">
    <cfRule type="expression" dxfId="9494" priority="755">
      <formula>$E5=""</formula>
    </cfRule>
  </conditionalFormatting>
  <conditionalFormatting sqref="K5:K9">
    <cfRule type="expression" dxfId="9493" priority="754">
      <formula>$C5&lt;$E$3</formula>
    </cfRule>
  </conditionalFormatting>
  <conditionalFormatting sqref="K5:K9">
    <cfRule type="expression" dxfId="9492" priority="750">
      <formula>$C5=$E$3</formula>
    </cfRule>
    <cfRule type="expression" dxfId="9491" priority="751">
      <formula>$C5&lt;$E$3</formula>
    </cfRule>
    <cfRule type="cellIs" dxfId="9490" priority="752" operator="equal">
      <formula>0</formula>
    </cfRule>
    <cfRule type="expression" dxfId="9489" priority="753">
      <formula>$C5&gt;$E$3</formula>
    </cfRule>
  </conditionalFormatting>
  <conditionalFormatting sqref="K5:K9">
    <cfRule type="expression" dxfId="9488" priority="749">
      <formula>$C5&lt;$E$3</formula>
    </cfRule>
  </conditionalFormatting>
  <conditionalFormatting sqref="K5:K9">
    <cfRule type="expression" dxfId="9487" priority="745">
      <formula>$C5=$E$3</formula>
    </cfRule>
    <cfRule type="expression" dxfId="9486" priority="746">
      <formula>$C5&lt;$E$3</formula>
    </cfRule>
    <cfRule type="cellIs" dxfId="9485" priority="747" operator="equal">
      <formula>0</formula>
    </cfRule>
    <cfRule type="expression" dxfId="9484" priority="748">
      <formula>$C5&gt;$E$3</formula>
    </cfRule>
  </conditionalFormatting>
  <conditionalFormatting sqref="K5:K9">
    <cfRule type="expression" dxfId="9483" priority="744">
      <formula>$C5&lt;$E$3</formula>
    </cfRule>
  </conditionalFormatting>
  <conditionalFormatting sqref="K5:K9">
    <cfRule type="expression" dxfId="9482" priority="740">
      <formula>$C5=$E$3</formula>
    </cfRule>
    <cfRule type="expression" dxfId="9481" priority="741">
      <formula>$C5&lt;$E$3</formula>
    </cfRule>
    <cfRule type="cellIs" dxfId="9480" priority="742" operator="equal">
      <formula>0</formula>
    </cfRule>
    <cfRule type="expression" dxfId="9479" priority="743">
      <formula>$C5&gt;$E$3</formula>
    </cfRule>
  </conditionalFormatting>
  <conditionalFormatting sqref="K5:K9">
    <cfRule type="expression" dxfId="9478" priority="739">
      <formula>$C5&lt;$E$3</formula>
    </cfRule>
  </conditionalFormatting>
  <conditionalFormatting sqref="K5:K9">
    <cfRule type="expression" dxfId="9477" priority="735">
      <formula>$C5=$E$3</formula>
    </cfRule>
    <cfRule type="expression" dxfId="9476" priority="736">
      <formula>$C5&lt;$E$3</formula>
    </cfRule>
    <cfRule type="cellIs" dxfId="9475" priority="737" operator="equal">
      <formula>0</formula>
    </cfRule>
    <cfRule type="expression" dxfId="9474" priority="738">
      <formula>$C5&gt;$E$3</formula>
    </cfRule>
  </conditionalFormatting>
  <conditionalFormatting sqref="K5:K9">
    <cfRule type="expression" dxfId="9473" priority="734">
      <formula>$E5=""</formula>
    </cfRule>
  </conditionalFormatting>
  <conditionalFormatting sqref="K5:K9">
    <cfRule type="expression" dxfId="9472" priority="733">
      <formula>$C5&lt;$E$3</formula>
    </cfRule>
  </conditionalFormatting>
  <conditionalFormatting sqref="K5:K9">
    <cfRule type="expression" dxfId="9471" priority="732">
      <formula>$E5=""</formula>
    </cfRule>
  </conditionalFormatting>
  <conditionalFormatting sqref="K5:K9">
    <cfRule type="expression" dxfId="9470" priority="731">
      <formula>$E5=""</formula>
    </cfRule>
  </conditionalFormatting>
  <conditionalFormatting sqref="K5:K9">
    <cfRule type="expression" dxfId="9469" priority="730">
      <formula>$C5&lt;$E$3</formula>
    </cfRule>
  </conditionalFormatting>
  <conditionalFormatting sqref="K5:K9">
    <cfRule type="expression" dxfId="9468" priority="729">
      <formula>$E5=""</formula>
    </cfRule>
  </conditionalFormatting>
  <conditionalFormatting sqref="K5:K9">
    <cfRule type="expression" dxfId="9467" priority="728">
      <formula>$C5&lt;$E$3</formula>
    </cfRule>
  </conditionalFormatting>
  <conditionalFormatting sqref="K5:K9">
    <cfRule type="expression" dxfId="9466" priority="727">
      <formula>$E5=""</formula>
    </cfRule>
  </conditionalFormatting>
  <conditionalFormatting sqref="K5:K9">
    <cfRule type="expression" dxfId="9465" priority="726">
      <formula>$C5&lt;$E$3</formula>
    </cfRule>
  </conditionalFormatting>
  <conditionalFormatting sqref="K5:K9">
    <cfRule type="expression" dxfId="9464" priority="725">
      <formula>$E5=""</formula>
    </cfRule>
  </conditionalFormatting>
  <conditionalFormatting sqref="K5:K11">
    <cfRule type="expression" dxfId="9463" priority="723">
      <formula>$C5&lt;$E$3</formula>
    </cfRule>
  </conditionalFormatting>
  <conditionalFormatting sqref="K5:K11">
    <cfRule type="expression" dxfId="9462" priority="720">
      <formula>$C5=$E$3</formula>
    </cfRule>
    <cfRule type="expression" dxfId="9461" priority="721">
      <formula>$C5&lt;$E$3</formula>
    </cfRule>
    <cfRule type="cellIs" dxfId="9460" priority="722" operator="equal">
      <formula>0</formula>
    </cfRule>
    <cfRule type="expression" dxfId="9459" priority="724">
      <formula>$C5&gt;$E$3</formula>
    </cfRule>
  </conditionalFormatting>
  <conditionalFormatting sqref="K5:K11">
    <cfRule type="expression" dxfId="9458" priority="719">
      <formula>$E5=""</formula>
    </cfRule>
  </conditionalFormatting>
  <conditionalFormatting sqref="K5:K11">
    <cfRule type="expression" dxfId="9457" priority="718">
      <formula>$E5=""</formula>
    </cfRule>
  </conditionalFormatting>
  <conditionalFormatting sqref="K5:K11">
    <cfRule type="expression" dxfId="9456" priority="717">
      <formula>$E5=""</formula>
    </cfRule>
  </conditionalFormatting>
  <conditionalFormatting sqref="K50:K51">
    <cfRule type="expression" dxfId="9455" priority="715">
      <formula>$C50&lt;$E$3</formula>
    </cfRule>
  </conditionalFormatting>
  <conditionalFormatting sqref="K50:K51">
    <cfRule type="expression" dxfId="9454" priority="712">
      <formula>$C50=$E$3</formula>
    </cfRule>
    <cfRule type="expression" dxfId="9453" priority="713">
      <formula>$C50&lt;$E$3</formula>
    </cfRule>
    <cfRule type="cellIs" dxfId="9452" priority="714" operator="equal">
      <formula>0</formula>
    </cfRule>
    <cfRule type="expression" dxfId="9451" priority="716">
      <formula>$C50&gt;$E$3</formula>
    </cfRule>
  </conditionalFormatting>
  <conditionalFormatting sqref="K50:K51">
    <cfRule type="expression" dxfId="9450" priority="711">
      <formula>$E50=""</formula>
    </cfRule>
  </conditionalFormatting>
  <conditionalFormatting sqref="K50:K51">
    <cfRule type="expression" dxfId="9449" priority="710">
      <formula>$E50=""</formula>
    </cfRule>
  </conditionalFormatting>
  <conditionalFormatting sqref="K50:K51">
    <cfRule type="expression" dxfId="9448" priority="709">
      <formula>$E50=""</formula>
    </cfRule>
  </conditionalFormatting>
  <conditionalFormatting sqref="K50:K51">
    <cfRule type="cellIs" dxfId="9447" priority="708" stopIfTrue="1" operator="lessThan">
      <formula>0</formula>
    </cfRule>
  </conditionalFormatting>
  <conditionalFormatting sqref="K50:K51">
    <cfRule type="expression" dxfId="9446" priority="706">
      <formula>$C50&lt;$E$3</formula>
    </cfRule>
  </conditionalFormatting>
  <conditionalFormatting sqref="K50:K51">
    <cfRule type="expression" dxfId="9445" priority="703">
      <formula>$C50=$E$3</formula>
    </cfRule>
    <cfRule type="expression" dxfId="9444" priority="704">
      <formula>$C50&lt;$E$3</formula>
    </cfRule>
    <cfRule type="cellIs" dxfId="9443" priority="705" operator="equal">
      <formula>0</formula>
    </cfRule>
    <cfRule type="expression" dxfId="9442" priority="707">
      <formula>$C50&gt;$E$3</formula>
    </cfRule>
  </conditionalFormatting>
  <conditionalFormatting sqref="K50:K51">
    <cfRule type="expression" dxfId="9441" priority="702">
      <formula>$E50=""</formula>
    </cfRule>
  </conditionalFormatting>
  <conditionalFormatting sqref="K50:K51">
    <cfRule type="expression" dxfId="9440" priority="701">
      <formula>$E50=""</formula>
    </cfRule>
  </conditionalFormatting>
  <conditionalFormatting sqref="K50:K51">
    <cfRule type="cellIs" dxfId="9439" priority="699" stopIfTrue="1" operator="lessThan">
      <formula>0</formula>
    </cfRule>
  </conditionalFormatting>
  <conditionalFormatting sqref="K50:K51">
    <cfRule type="cellIs" dxfId="9438" priority="698" stopIfTrue="1" operator="lessThan">
      <formula>0</formula>
    </cfRule>
  </conditionalFormatting>
  <conditionalFormatting sqref="K50:K51">
    <cfRule type="cellIs" dxfId="9437" priority="697" stopIfTrue="1" operator="lessThan">
      <formula>0</formula>
    </cfRule>
  </conditionalFormatting>
  <conditionalFormatting sqref="K50:K51">
    <cfRule type="cellIs" dxfId="9436" priority="696" stopIfTrue="1" operator="lessThan">
      <formula>0</formula>
    </cfRule>
  </conditionalFormatting>
  <conditionalFormatting sqref="K50:K51">
    <cfRule type="expression" dxfId="9435" priority="695">
      <formula>$C50&lt;$E$3</formula>
    </cfRule>
  </conditionalFormatting>
  <conditionalFormatting sqref="K50:K51">
    <cfRule type="expression" dxfId="9434" priority="691">
      <formula>$C50=$E$3</formula>
    </cfRule>
    <cfRule type="expression" dxfId="9433" priority="692">
      <formula>$C50&lt;$E$3</formula>
    </cfRule>
    <cfRule type="cellIs" dxfId="9432" priority="693" operator="equal">
      <formula>0</formula>
    </cfRule>
    <cfRule type="expression" dxfId="9431" priority="694">
      <formula>$C50&gt;$E$3</formula>
    </cfRule>
  </conditionalFormatting>
  <conditionalFormatting sqref="K50:K51">
    <cfRule type="expression" dxfId="9430" priority="690">
      <formula>$C50&lt;$E$3</formula>
    </cfRule>
  </conditionalFormatting>
  <conditionalFormatting sqref="K50:K51">
    <cfRule type="expression" dxfId="9429" priority="686">
      <formula>$C50=$E$3</formula>
    </cfRule>
    <cfRule type="expression" dxfId="9428" priority="687">
      <formula>$C50&lt;$E$3</formula>
    </cfRule>
    <cfRule type="cellIs" dxfId="9427" priority="688" operator="equal">
      <formula>0</formula>
    </cfRule>
    <cfRule type="expression" dxfId="9426" priority="689">
      <formula>$C50&gt;$E$3</formula>
    </cfRule>
  </conditionalFormatting>
  <conditionalFormatting sqref="K50:K51">
    <cfRule type="expression" dxfId="9425" priority="685">
      <formula>$C50&lt;$E$3</formula>
    </cfRule>
  </conditionalFormatting>
  <conditionalFormatting sqref="K50:K51">
    <cfRule type="expression" dxfId="9424" priority="681">
      <formula>$C50=$E$3</formula>
    </cfRule>
    <cfRule type="expression" dxfId="9423" priority="682">
      <formula>$C50&lt;$E$3</formula>
    </cfRule>
    <cfRule type="cellIs" dxfId="9422" priority="683" operator="equal">
      <formula>0</formula>
    </cfRule>
    <cfRule type="expression" dxfId="9421" priority="684">
      <formula>$C50&gt;$E$3</formula>
    </cfRule>
  </conditionalFormatting>
  <conditionalFormatting sqref="K50:K51">
    <cfRule type="expression" dxfId="9420" priority="680">
      <formula>$C50&lt;$E$3</formula>
    </cfRule>
  </conditionalFormatting>
  <conditionalFormatting sqref="K50:K51">
    <cfRule type="expression" dxfId="9419" priority="676">
      <formula>$C50=$E$3</formula>
    </cfRule>
    <cfRule type="expression" dxfId="9418" priority="677">
      <formula>$C50&lt;$E$3</formula>
    </cfRule>
    <cfRule type="cellIs" dxfId="9417" priority="678" operator="equal">
      <formula>0</formula>
    </cfRule>
    <cfRule type="expression" dxfId="9416" priority="679">
      <formula>$C50&gt;$E$3</formula>
    </cfRule>
  </conditionalFormatting>
  <conditionalFormatting sqref="K50:K51">
    <cfRule type="expression" dxfId="9415" priority="672">
      <formula>$E50=""</formula>
    </cfRule>
  </conditionalFormatting>
  <conditionalFormatting sqref="K50:K51">
    <cfRule type="expression" dxfId="9414" priority="671">
      <formula>$C50&lt;$E$3</formula>
    </cfRule>
  </conditionalFormatting>
  <conditionalFormatting sqref="K50:K51">
    <cfRule type="expression" dxfId="9413" priority="670">
      <formula>$E50=""</formula>
    </cfRule>
  </conditionalFormatting>
  <conditionalFormatting sqref="K50:K51">
    <cfRule type="expression" dxfId="9412" priority="669">
      <formula>$C50&lt;$E$3</formula>
    </cfRule>
  </conditionalFormatting>
  <conditionalFormatting sqref="K50:K51">
    <cfRule type="expression" dxfId="9411" priority="668">
      <formula>$E50=""</formula>
    </cfRule>
  </conditionalFormatting>
  <conditionalFormatting sqref="K50:K51">
    <cfRule type="expression" dxfId="9410" priority="667">
      <formula>$C50&lt;$E$3</formula>
    </cfRule>
  </conditionalFormatting>
  <conditionalFormatting sqref="K50:K51">
    <cfRule type="expression" dxfId="9409" priority="666">
      <formula>$E50=""</formula>
    </cfRule>
  </conditionalFormatting>
  <conditionalFormatting sqref="K50:K51">
    <cfRule type="expression" dxfId="9408" priority="665">
      <formula>$C50&lt;$E$3</formula>
    </cfRule>
  </conditionalFormatting>
  <conditionalFormatting sqref="K50:K51">
    <cfRule type="expression" dxfId="9407" priority="661">
      <formula>$C50=$E$3</formula>
    </cfRule>
    <cfRule type="expression" dxfId="9406" priority="662">
      <formula>$C50&lt;$E$3</formula>
    </cfRule>
    <cfRule type="cellIs" dxfId="9405" priority="663" operator="equal">
      <formula>0</formula>
    </cfRule>
    <cfRule type="expression" dxfId="9404" priority="664">
      <formula>$C50&gt;$E$3</formula>
    </cfRule>
  </conditionalFormatting>
  <conditionalFormatting sqref="K50:K51">
    <cfRule type="expression" dxfId="9403" priority="660">
      <formula>$C50&lt;$E$3</formula>
    </cfRule>
  </conditionalFormatting>
  <conditionalFormatting sqref="K50:K51">
    <cfRule type="expression" dxfId="9402" priority="656">
      <formula>$C50=$E$3</formula>
    </cfRule>
    <cfRule type="expression" dxfId="9401" priority="657">
      <formula>$C50&lt;$E$3</formula>
    </cfRule>
    <cfRule type="cellIs" dxfId="9400" priority="658" operator="equal">
      <formula>0</formula>
    </cfRule>
    <cfRule type="expression" dxfId="9399" priority="659">
      <formula>$C50&gt;$E$3</formula>
    </cfRule>
  </conditionalFormatting>
  <conditionalFormatting sqref="K50:K51">
    <cfRule type="expression" dxfId="9398" priority="655">
      <formula>$C50&lt;$E$3</formula>
    </cfRule>
  </conditionalFormatting>
  <conditionalFormatting sqref="K50:K51">
    <cfRule type="expression" dxfId="9397" priority="651">
      <formula>$C50=$E$3</formula>
    </cfRule>
    <cfRule type="expression" dxfId="9396" priority="652">
      <formula>$C50&lt;$E$3</formula>
    </cfRule>
    <cfRule type="cellIs" dxfId="9395" priority="653" operator="equal">
      <formula>0</formula>
    </cfRule>
    <cfRule type="expression" dxfId="9394" priority="654">
      <formula>$C50&gt;$E$3</formula>
    </cfRule>
  </conditionalFormatting>
  <conditionalFormatting sqref="K50:K51">
    <cfRule type="expression" dxfId="9393" priority="650">
      <formula>$C50&lt;$E$3</formula>
    </cfRule>
  </conditionalFormatting>
  <conditionalFormatting sqref="K50:K51">
    <cfRule type="expression" dxfId="9392" priority="646">
      <formula>$C50=$E$3</formula>
    </cfRule>
    <cfRule type="expression" dxfId="9391" priority="647">
      <formula>$C50&lt;$E$3</formula>
    </cfRule>
    <cfRule type="cellIs" dxfId="9390" priority="648" operator="equal">
      <formula>0</formula>
    </cfRule>
    <cfRule type="expression" dxfId="9389" priority="649">
      <formula>$C50&gt;$E$3</formula>
    </cfRule>
  </conditionalFormatting>
  <conditionalFormatting sqref="K50:K51">
    <cfRule type="expression" dxfId="9388" priority="642">
      <formula>$E50=""</formula>
    </cfRule>
  </conditionalFormatting>
  <conditionalFormatting sqref="K50:K51">
    <cfRule type="expression" dxfId="9387" priority="641">
      <formula>$C50&lt;$E$3</formula>
    </cfRule>
  </conditionalFormatting>
  <conditionalFormatting sqref="K50:K51">
    <cfRule type="expression" dxfId="9386" priority="640">
      <formula>$E50=""</formula>
    </cfRule>
  </conditionalFormatting>
  <conditionalFormatting sqref="K50:K51">
    <cfRule type="expression" dxfId="9385" priority="639">
      <formula>$C50&lt;$E$3</formula>
    </cfRule>
  </conditionalFormatting>
  <conditionalFormatting sqref="K50:K51">
    <cfRule type="expression" dxfId="9384" priority="638">
      <formula>$E50=""</formula>
    </cfRule>
  </conditionalFormatting>
  <conditionalFormatting sqref="K50:K51">
    <cfRule type="expression" dxfId="9383" priority="636">
      <formula>$E50=""</formula>
    </cfRule>
  </conditionalFormatting>
  <conditionalFormatting sqref="K50:K51">
    <cfRule type="expression" dxfId="9382" priority="634">
      <formula>$C50&lt;$E$3</formula>
    </cfRule>
  </conditionalFormatting>
  <conditionalFormatting sqref="K50:K51">
    <cfRule type="expression" dxfId="9381" priority="631">
      <formula>$C50=$E$3</formula>
    </cfRule>
    <cfRule type="expression" dxfId="9380" priority="632">
      <formula>$C50&lt;$E$3</formula>
    </cfRule>
    <cfRule type="cellIs" dxfId="9379" priority="633" operator="equal">
      <formula>0</formula>
    </cfRule>
    <cfRule type="expression" dxfId="9378" priority="635">
      <formula>$C50&gt;$E$3</formula>
    </cfRule>
  </conditionalFormatting>
  <conditionalFormatting sqref="K50:K51">
    <cfRule type="expression" dxfId="9377" priority="630">
      <formula>$E50=""</formula>
    </cfRule>
  </conditionalFormatting>
  <conditionalFormatting sqref="K50:K51">
    <cfRule type="expression" dxfId="9376" priority="629">
      <formula>$E50=""</formula>
    </cfRule>
  </conditionalFormatting>
  <conditionalFormatting sqref="K50:K51">
    <cfRule type="expression" dxfId="9375" priority="628">
      <formula>$E50=""</formula>
    </cfRule>
  </conditionalFormatting>
  <conditionalFormatting sqref="J14:J20 L14:M20 J41:J47 L32:M38 L41:M47 J23:J29 J32:J38 L23:M29">
    <cfRule type="cellIs" dxfId="9374" priority="626" stopIfTrue="1" operator="lessThan">
      <formula>0</formula>
    </cfRule>
  </conditionalFormatting>
  <conditionalFormatting sqref="J14:J20 J41:J47 L14:M20 L32:M38 L41:M47 J23:J29 J32:J38 L23:M29">
    <cfRule type="expression" dxfId="9373" priority="624">
      <formula>$C14&lt;$E$3</formula>
    </cfRule>
  </conditionalFormatting>
  <conditionalFormatting sqref="J14:J20 J41:J47 L14:M20 L32:M38 L41:M47 J23:J29 J32:J38 L23:M29">
    <cfRule type="expression" dxfId="9372" priority="621">
      <formula>$C14=$E$3</formula>
    </cfRule>
    <cfRule type="expression" dxfId="9371" priority="622">
      <formula>$C14&lt;$E$3</formula>
    </cfRule>
    <cfRule type="cellIs" dxfId="9370" priority="623" operator="equal">
      <formula>0</formula>
    </cfRule>
    <cfRule type="expression" dxfId="9369" priority="625">
      <formula>$C14&gt;$E$3</formula>
    </cfRule>
  </conditionalFormatting>
  <conditionalFormatting sqref="J14:J20 J41:J47 L14:M20 L32:M38 L41:M47 J23:J29 J32:J38 L23:M29">
    <cfRule type="expression" dxfId="9368" priority="620">
      <formula>$E14=""</formula>
    </cfRule>
  </conditionalFormatting>
  <conditionalFormatting sqref="J41:J47 J14:J20 L14:M20 L32:M38 L41:M47 J23:J29 J32:J38 L23:M29">
    <cfRule type="expression" dxfId="9367" priority="619">
      <formula>$E14=""</formula>
    </cfRule>
  </conditionalFormatting>
  <conditionalFormatting sqref="J41:J47 J14:J20 L14:M20 L32:M38 L41:M47 J23:J29 J32:J38 L23:M29">
    <cfRule type="expression" dxfId="9366" priority="618">
      <formula>$E14=""</formula>
    </cfRule>
  </conditionalFormatting>
  <conditionalFormatting sqref="M14:M20 M32:M38 M41:M47 M23:M29">
    <cfRule type="expression" dxfId="9365" priority="617">
      <formula>$C14&lt;$E$3</formula>
    </cfRule>
  </conditionalFormatting>
  <conditionalFormatting sqref="M14:M20 M32:M38 M41:M47 M23:M29">
    <cfRule type="expression" dxfId="9364" priority="613">
      <formula>$C14=$E$3</formula>
    </cfRule>
    <cfRule type="expression" dxfId="9363" priority="614">
      <formula>$C14&lt;$E$3</formula>
    </cfRule>
    <cfRule type="cellIs" dxfId="9362" priority="615" operator="equal">
      <formula>0</formula>
    </cfRule>
    <cfRule type="expression" dxfId="9361" priority="616">
      <formula>$C14&gt;$E$3</formula>
    </cfRule>
  </conditionalFormatting>
  <conditionalFormatting sqref="M14:M20 M32:M38 M41:M47 M23:M29">
    <cfRule type="expression" dxfId="9360" priority="612">
      <formula>$C14&lt;$E$3</formula>
    </cfRule>
  </conditionalFormatting>
  <conditionalFormatting sqref="M14:M20 M32:M38 M41:M47 M23:M29">
    <cfRule type="expression" dxfId="9359" priority="608">
      <formula>$C14=$E$3</formula>
    </cfRule>
    <cfRule type="expression" dxfId="9358" priority="609">
      <formula>$C14&lt;$E$3</formula>
    </cfRule>
    <cfRule type="cellIs" dxfId="9357" priority="610" operator="equal">
      <formula>0</formula>
    </cfRule>
    <cfRule type="expression" dxfId="9356" priority="611">
      <formula>$C14&gt;$E$3</formula>
    </cfRule>
  </conditionalFormatting>
  <conditionalFormatting sqref="M14:M20 M32:M38 M41:M47 M23:M29">
    <cfRule type="expression" dxfId="9355" priority="607">
      <formula>$C14&lt;$E$3</formula>
    </cfRule>
  </conditionalFormatting>
  <conditionalFormatting sqref="M14:M20 M32:M38 M41:M47 M23:M29">
    <cfRule type="expression" dxfId="9354" priority="603">
      <formula>$C14=$E$3</formula>
    </cfRule>
    <cfRule type="expression" dxfId="9353" priority="604">
      <formula>$C14&lt;$E$3</formula>
    </cfRule>
    <cfRule type="cellIs" dxfId="9352" priority="605" operator="equal">
      <formula>0</formula>
    </cfRule>
    <cfRule type="expression" dxfId="9351" priority="606">
      <formula>$C14&gt;$E$3</formula>
    </cfRule>
  </conditionalFormatting>
  <conditionalFormatting sqref="M14:M20 M32:M38 M41:M47 M23:M29">
    <cfRule type="expression" dxfId="9350" priority="602">
      <formula>$C14&lt;$E$3</formula>
    </cfRule>
  </conditionalFormatting>
  <conditionalFormatting sqref="M14:M20 M32:M38 M41:M47 M23:M29">
    <cfRule type="expression" dxfId="9349" priority="598">
      <formula>$C14=$E$3</formula>
    </cfRule>
    <cfRule type="expression" dxfId="9348" priority="599">
      <formula>$C14&lt;$E$3</formula>
    </cfRule>
    <cfRule type="cellIs" dxfId="9347" priority="600" operator="equal">
      <formula>0</formula>
    </cfRule>
    <cfRule type="expression" dxfId="9346" priority="601">
      <formula>$C14&gt;$E$3</formula>
    </cfRule>
  </conditionalFormatting>
  <conditionalFormatting sqref="M14:M20 M32:M38 M41:M47 M23:M29">
    <cfRule type="expression" dxfId="9345" priority="597">
      <formula>$E14=""</formula>
    </cfRule>
  </conditionalFormatting>
  <conditionalFormatting sqref="M14:M20 M32:M38 M41:M47 M23:M29">
    <cfRule type="expression" dxfId="9344" priority="596">
      <formula>$C14&lt;$E$3</formula>
    </cfRule>
  </conditionalFormatting>
  <conditionalFormatting sqref="M14:M20 M32:M38 M41:M47 M23:M29">
    <cfRule type="expression" dxfId="9343" priority="595">
      <formula>$E14=""</formula>
    </cfRule>
  </conditionalFormatting>
  <conditionalFormatting sqref="M32:M38 M41:M47 M14:M20 M23:M29">
    <cfRule type="expression" dxfId="9342" priority="594">
      <formula>$E14=""</formula>
    </cfRule>
  </conditionalFormatting>
  <conditionalFormatting sqref="M14:M20 M32:M38 M41:M47 M23:M29">
    <cfRule type="expression" dxfId="9341" priority="593">
      <formula>$C14&lt;$E$3</formula>
    </cfRule>
  </conditionalFormatting>
  <conditionalFormatting sqref="M14:M20 M32:M38 M41:M47 M23:M29">
    <cfRule type="expression" dxfId="9340" priority="592">
      <formula>$E14=""</formula>
    </cfRule>
  </conditionalFormatting>
  <conditionalFormatting sqref="M14:M20 M32:M38 M41:M47 M23:M29">
    <cfRule type="expression" dxfId="9339" priority="591">
      <formula>$C14&lt;$E$3</formula>
    </cfRule>
  </conditionalFormatting>
  <conditionalFormatting sqref="M14:M20 M32:M38 M41:M47 M23:M29">
    <cfRule type="expression" dxfId="9338" priority="590">
      <formula>$E14=""</formula>
    </cfRule>
  </conditionalFormatting>
  <conditionalFormatting sqref="M14:M20 M32:M38 M41:M47 M23:M29">
    <cfRule type="expression" dxfId="9337" priority="588">
      <formula>$E14=""</formula>
    </cfRule>
  </conditionalFormatting>
  <conditionalFormatting sqref="M14:M20 M32:M38 M41:M47 M23:M29">
    <cfRule type="expression" dxfId="9336" priority="583">
      <formula>$C14=$E$3</formula>
    </cfRule>
    <cfRule type="expression" dxfId="9335" priority="584">
      <formula>$C14&lt;$E$3</formula>
    </cfRule>
    <cfRule type="cellIs" dxfId="9334" priority="585" operator="equal">
      <formula>0</formula>
    </cfRule>
    <cfRule type="expression" dxfId="9333" priority="586">
      <formula>$C14&gt;$E$3</formula>
    </cfRule>
  </conditionalFormatting>
  <conditionalFormatting sqref="M14:M20 M32:M38 M41:M47 M23:M29">
    <cfRule type="expression" dxfId="9332" priority="582">
      <formula>$C14&lt;$E$3</formula>
    </cfRule>
  </conditionalFormatting>
  <conditionalFormatting sqref="M14:M20 M32:M38 M41:M47 M23:M29">
    <cfRule type="expression" dxfId="9331" priority="578">
      <formula>$C14=$E$3</formula>
    </cfRule>
    <cfRule type="expression" dxfId="9330" priority="579">
      <formula>$C14&lt;$E$3</formula>
    </cfRule>
    <cfRule type="cellIs" dxfId="9329" priority="580" operator="equal">
      <formula>0</formula>
    </cfRule>
    <cfRule type="expression" dxfId="9328" priority="581">
      <formula>$C14&gt;$E$3</formula>
    </cfRule>
  </conditionalFormatting>
  <conditionalFormatting sqref="M14:M20 M32:M38 M41:M47 M23:M29">
    <cfRule type="expression" dxfId="9327" priority="577">
      <formula>$C14&lt;$E$3</formula>
    </cfRule>
  </conditionalFormatting>
  <conditionalFormatting sqref="M14:M20 M32:M38 M41:M47 M23:M29">
    <cfRule type="expression" dxfId="9326" priority="573">
      <formula>$C14=$E$3</formula>
    </cfRule>
    <cfRule type="expression" dxfId="9325" priority="574">
      <formula>$C14&lt;$E$3</formula>
    </cfRule>
    <cfRule type="cellIs" dxfId="9324" priority="575" operator="equal">
      <formula>0</formula>
    </cfRule>
    <cfRule type="expression" dxfId="9323" priority="576">
      <formula>$C14&gt;$E$3</formula>
    </cfRule>
  </conditionalFormatting>
  <conditionalFormatting sqref="M14:M20 M32:M38 M41:M47 M23:M29">
    <cfRule type="expression" dxfId="9322" priority="572">
      <formula>$C14&lt;$E$3</formula>
    </cfRule>
  </conditionalFormatting>
  <conditionalFormatting sqref="M14:M20 M32:M38 M41:M47 M23:M29">
    <cfRule type="expression" dxfId="9321" priority="568">
      <formula>$C14=$E$3</formula>
    </cfRule>
    <cfRule type="expression" dxfId="9320" priority="569">
      <formula>$C14&lt;$E$3</formula>
    </cfRule>
    <cfRule type="cellIs" dxfId="9319" priority="570" operator="equal">
      <formula>0</formula>
    </cfRule>
    <cfRule type="expression" dxfId="9318" priority="571">
      <formula>$C14&gt;$E$3</formula>
    </cfRule>
  </conditionalFormatting>
  <conditionalFormatting sqref="M14:M20 M32:M38 M41:M47 M23:M29">
    <cfRule type="expression" dxfId="9317" priority="567">
      <formula>$E14=""</formula>
    </cfRule>
  </conditionalFormatting>
  <conditionalFormatting sqref="M14:M20 M32:M38 M41:M47 M23:M29">
    <cfRule type="expression" dxfId="9316" priority="566">
      <formula>$C14&lt;$E$3</formula>
    </cfRule>
  </conditionalFormatting>
  <conditionalFormatting sqref="M14:M20 M32:M38 M41:M47 M23:M29">
    <cfRule type="expression" dxfId="9315" priority="565">
      <formula>$E14=""</formula>
    </cfRule>
  </conditionalFormatting>
  <conditionalFormatting sqref="M32:M38 M41:M47 M14:M20 M23:M29">
    <cfRule type="expression" dxfId="9314" priority="564">
      <formula>$E14=""</formula>
    </cfRule>
  </conditionalFormatting>
  <conditionalFormatting sqref="M14:M20 M32:M38 M41:M47 M23:M29">
    <cfRule type="expression" dxfId="9313" priority="563">
      <formula>$C14&lt;$E$3</formula>
    </cfRule>
  </conditionalFormatting>
  <conditionalFormatting sqref="M14:M20 M32:M38 M41:M47 M23:M29">
    <cfRule type="expression" dxfId="9312" priority="562">
      <formula>$E14=""</formula>
    </cfRule>
  </conditionalFormatting>
  <conditionalFormatting sqref="M14:M20 M32:M38 M41:M47 M23:M29">
    <cfRule type="expression" dxfId="9311" priority="561">
      <formula>$C14&lt;$E$3</formula>
    </cfRule>
  </conditionalFormatting>
  <conditionalFormatting sqref="M14:M20 M32:M38 M41:M47 M23:M29">
    <cfRule type="expression" dxfId="9310" priority="560">
      <formula>$E14=""</formula>
    </cfRule>
  </conditionalFormatting>
  <conditionalFormatting sqref="M14:M20 M32:M38 M41:M47 M23:M29">
    <cfRule type="expression" dxfId="9309" priority="558">
      <formula>$E14=""</formula>
    </cfRule>
  </conditionalFormatting>
  <conditionalFormatting sqref="K37">
    <cfRule type="expression" dxfId="9308" priority="263">
      <formula>$C37&lt;$E$3</formula>
    </cfRule>
  </conditionalFormatting>
  <conditionalFormatting sqref="K37">
    <cfRule type="expression" dxfId="9307" priority="259">
      <formula>$C37=$E$3</formula>
    </cfRule>
    <cfRule type="expression" dxfId="9306" priority="260">
      <formula>$C37&lt;$E$3</formula>
    </cfRule>
    <cfRule type="cellIs" dxfId="9305" priority="261" operator="equal">
      <formula>0</formula>
    </cfRule>
    <cfRule type="expression" dxfId="9304" priority="262">
      <formula>$C37&gt;$E$3</formula>
    </cfRule>
  </conditionalFormatting>
  <conditionalFormatting sqref="K37">
    <cfRule type="expression" dxfId="9303" priority="258">
      <formula>$C37&lt;$E$3</formula>
    </cfRule>
  </conditionalFormatting>
  <conditionalFormatting sqref="K37">
    <cfRule type="expression" dxfId="9302" priority="254">
      <formula>$C37=$E$3</formula>
    </cfRule>
    <cfRule type="expression" dxfId="9301" priority="255">
      <formula>$C37&lt;$E$3</formula>
    </cfRule>
    <cfRule type="cellIs" dxfId="9300" priority="256" operator="equal">
      <formula>0</formula>
    </cfRule>
    <cfRule type="expression" dxfId="9299" priority="257">
      <formula>$C37&gt;$E$3</formula>
    </cfRule>
  </conditionalFormatting>
  <conditionalFormatting sqref="K37">
    <cfRule type="expression" dxfId="9298" priority="233">
      <formula>$C37&lt;$E$3</formula>
    </cfRule>
  </conditionalFormatting>
  <conditionalFormatting sqref="K37">
    <cfRule type="expression" dxfId="9297" priority="229">
      <formula>$C37=$E$3</formula>
    </cfRule>
    <cfRule type="expression" dxfId="9296" priority="230">
      <formula>$C37&lt;$E$3</formula>
    </cfRule>
    <cfRule type="cellIs" dxfId="9295" priority="231" operator="equal">
      <formula>0</formula>
    </cfRule>
    <cfRule type="expression" dxfId="9294" priority="232">
      <formula>$C37&gt;$E$3</formula>
    </cfRule>
  </conditionalFormatting>
  <conditionalFormatting sqref="K37">
    <cfRule type="expression" dxfId="9293" priority="228">
      <formula>$C37&lt;$E$3</formula>
    </cfRule>
  </conditionalFormatting>
  <conditionalFormatting sqref="K37">
    <cfRule type="expression" dxfId="9292" priority="224">
      <formula>$C37=$E$3</formula>
    </cfRule>
    <cfRule type="expression" dxfId="9291" priority="225">
      <formula>$C37&lt;$E$3</formula>
    </cfRule>
    <cfRule type="cellIs" dxfId="9290" priority="226" operator="equal">
      <formula>0</formula>
    </cfRule>
    <cfRule type="expression" dxfId="9289" priority="227">
      <formula>$C37&gt;$E$3</formula>
    </cfRule>
  </conditionalFormatting>
  <conditionalFormatting sqref="K32:K36">
    <cfRule type="expression" dxfId="9288" priority="203">
      <formula>$C32&lt;$E$3</formula>
    </cfRule>
  </conditionalFormatting>
  <conditionalFormatting sqref="K32:K36">
    <cfRule type="expression" dxfId="9287" priority="199">
      <formula>$C32=$E$3</formula>
    </cfRule>
    <cfRule type="expression" dxfId="9286" priority="200">
      <formula>$C32&lt;$E$3</formula>
    </cfRule>
    <cfRule type="cellIs" dxfId="9285" priority="201" operator="equal">
      <formula>0</formula>
    </cfRule>
    <cfRule type="expression" dxfId="9284" priority="202">
      <formula>$C32&gt;$E$3</formula>
    </cfRule>
  </conditionalFormatting>
  <conditionalFormatting sqref="K32:K36">
    <cfRule type="expression" dxfId="9283" priority="198">
      <formula>$C32&lt;$E$3</formula>
    </cfRule>
  </conditionalFormatting>
  <conditionalFormatting sqref="K32:K36">
    <cfRule type="expression" dxfId="9282" priority="194">
      <formula>$C32=$E$3</formula>
    </cfRule>
    <cfRule type="expression" dxfId="9281" priority="195">
      <formula>$C32&lt;$E$3</formula>
    </cfRule>
    <cfRule type="cellIs" dxfId="9280" priority="196" operator="equal">
      <formula>0</formula>
    </cfRule>
    <cfRule type="expression" dxfId="9279" priority="197">
      <formula>$C32&gt;$E$3</formula>
    </cfRule>
  </conditionalFormatting>
  <conditionalFormatting sqref="J39:N40">
    <cfRule type="expression" dxfId="9278" priority="557">
      <formula>$L$40=0</formula>
    </cfRule>
  </conditionalFormatting>
  <conditionalFormatting sqref="K14:K20">
    <cfRule type="cellIs" dxfId="9277" priority="556" stopIfTrue="1" operator="lessThan">
      <formula>0</formula>
    </cfRule>
  </conditionalFormatting>
  <conditionalFormatting sqref="K14:K20">
    <cfRule type="expression" dxfId="9276" priority="554">
      <formula>$C14&lt;$E$3</formula>
    </cfRule>
  </conditionalFormatting>
  <conditionalFormatting sqref="K14:K20">
    <cfRule type="expression" dxfId="9275" priority="551">
      <formula>$C14=$E$3</formula>
    </cfRule>
    <cfRule type="expression" dxfId="9274" priority="552">
      <formula>$C14&lt;$E$3</formula>
    </cfRule>
    <cfRule type="cellIs" dxfId="9273" priority="553" operator="equal">
      <formula>0</formula>
    </cfRule>
    <cfRule type="expression" dxfId="9272" priority="555">
      <formula>$C14&gt;$E$3</formula>
    </cfRule>
  </conditionalFormatting>
  <conditionalFormatting sqref="K14:K20">
    <cfRule type="expression" dxfId="9271" priority="550">
      <formula>$E14=""</formula>
    </cfRule>
  </conditionalFormatting>
  <conditionalFormatting sqref="K14:K20">
    <cfRule type="expression" dxfId="9270" priority="549">
      <formula>$E14=""</formula>
    </cfRule>
  </conditionalFormatting>
  <conditionalFormatting sqref="K14:K20">
    <cfRule type="expression" dxfId="9269" priority="548">
      <formula>$E14=""</formula>
    </cfRule>
  </conditionalFormatting>
  <conditionalFormatting sqref="K19">
    <cfRule type="expression" dxfId="9268" priority="547">
      <formula>$C19&lt;$E$3</formula>
    </cfRule>
  </conditionalFormatting>
  <conditionalFormatting sqref="K19">
    <cfRule type="expression" dxfId="9267" priority="543">
      <formula>$C19=$E$3</formula>
    </cfRule>
    <cfRule type="expression" dxfId="9266" priority="544">
      <formula>$C19&lt;$E$3</formula>
    </cfRule>
    <cfRule type="cellIs" dxfId="9265" priority="545" operator="equal">
      <formula>0</formula>
    </cfRule>
    <cfRule type="expression" dxfId="9264" priority="546">
      <formula>$C19&gt;$E$3</formula>
    </cfRule>
  </conditionalFormatting>
  <conditionalFormatting sqref="K19">
    <cfRule type="expression" dxfId="9263" priority="542">
      <formula>$C19&lt;$E$3</formula>
    </cfRule>
  </conditionalFormatting>
  <conditionalFormatting sqref="K19">
    <cfRule type="expression" dxfId="9262" priority="538">
      <formula>$C19=$E$3</formula>
    </cfRule>
    <cfRule type="expression" dxfId="9261" priority="539">
      <formula>$C19&lt;$E$3</formula>
    </cfRule>
    <cfRule type="cellIs" dxfId="9260" priority="540" operator="equal">
      <formula>0</formula>
    </cfRule>
    <cfRule type="expression" dxfId="9259" priority="541">
      <formula>$C19&gt;$E$3</formula>
    </cfRule>
  </conditionalFormatting>
  <conditionalFormatting sqref="K19">
    <cfRule type="expression" dxfId="9258" priority="537">
      <formula>$C19&lt;$E$3</formula>
    </cfRule>
  </conditionalFormatting>
  <conditionalFormatting sqref="K19">
    <cfRule type="expression" dxfId="9257" priority="533">
      <formula>$C19=$E$3</formula>
    </cfRule>
    <cfRule type="expression" dxfId="9256" priority="534">
      <formula>$C19&lt;$E$3</formula>
    </cfRule>
    <cfRule type="cellIs" dxfId="9255" priority="535" operator="equal">
      <formula>0</formula>
    </cfRule>
    <cfRule type="expression" dxfId="9254" priority="536">
      <formula>$C19&gt;$E$3</formula>
    </cfRule>
  </conditionalFormatting>
  <conditionalFormatting sqref="K19">
    <cfRule type="expression" dxfId="9253" priority="532">
      <formula>$C19&lt;$E$3</formula>
    </cfRule>
  </conditionalFormatting>
  <conditionalFormatting sqref="K19">
    <cfRule type="expression" dxfId="9252" priority="528">
      <formula>$C19=$E$3</formula>
    </cfRule>
    <cfRule type="expression" dxfId="9251" priority="529">
      <formula>$C19&lt;$E$3</formula>
    </cfRule>
    <cfRule type="cellIs" dxfId="9250" priority="530" operator="equal">
      <formula>0</formula>
    </cfRule>
    <cfRule type="expression" dxfId="9249" priority="531">
      <formula>$C19&gt;$E$3</formula>
    </cfRule>
  </conditionalFormatting>
  <conditionalFormatting sqref="K19">
    <cfRule type="expression" dxfId="9248" priority="527">
      <formula>$E19=""</formula>
    </cfRule>
  </conditionalFormatting>
  <conditionalFormatting sqref="K19">
    <cfRule type="expression" dxfId="9247" priority="526">
      <formula>$C19&lt;$E$3</formula>
    </cfRule>
  </conditionalFormatting>
  <conditionalFormatting sqref="K19">
    <cfRule type="expression" dxfId="9246" priority="525">
      <formula>$E19=""</formula>
    </cfRule>
  </conditionalFormatting>
  <conditionalFormatting sqref="K19">
    <cfRule type="expression" dxfId="9245" priority="524">
      <formula>$E19=""</formula>
    </cfRule>
  </conditionalFormatting>
  <conditionalFormatting sqref="K19">
    <cfRule type="expression" dxfId="9244" priority="523">
      <formula>$C19&lt;$E$3</formula>
    </cfRule>
  </conditionalFormatting>
  <conditionalFormatting sqref="K19">
    <cfRule type="expression" dxfId="9243" priority="522">
      <formula>$E19=""</formula>
    </cfRule>
  </conditionalFormatting>
  <conditionalFormatting sqref="K19">
    <cfRule type="expression" dxfId="9242" priority="521">
      <formula>$C19&lt;$E$3</formula>
    </cfRule>
  </conditionalFormatting>
  <conditionalFormatting sqref="K19">
    <cfRule type="expression" dxfId="9241" priority="520">
      <formula>$E19=""</formula>
    </cfRule>
  </conditionalFormatting>
  <conditionalFormatting sqref="K19">
    <cfRule type="expression" dxfId="9240" priority="518">
      <formula>$E19=""</formula>
    </cfRule>
  </conditionalFormatting>
  <conditionalFormatting sqref="K19">
    <cfRule type="expression" dxfId="9239" priority="513">
      <formula>$C19=$E$3</formula>
    </cfRule>
    <cfRule type="expression" dxfId="9238" priority="514">
      <formula>$C19&lt;$E$3</formula>
    </cfRule>
    <cfRule type="cellIs" dxfId="9237" priority="515" operator="equal">
      <formula>0</formula>
    </cfRule>
    <cfRule type="expression" dxfId="9236" priority="516">
      <formula>$C19&gt;$E$3</formula>
    </cfRule>
  </conditionalFormatting>
  <conditionalFormatting sqref="K19">
    <cfRule type="expression" dxfId="9235" priority="512">
      <formula>$C19&lt;$E$3</formula>
    </cfRule>
  </conditionalFormatting>
  <conditionalFormatting sqref="K19">
    <cfRule type="expression" dxfId="9234" priority="508">
      <formula>$C19=$E$3</formula>
    </cfRule>
    <cfRule type="expression" dxfId="9233" priority="509">
      <formula>$C19&lt;$E$3</formula>
    </cfRule>
    <cfRule type="cellIs" dxfId="9232" priority="510" operator="equal">
      <formula>0</formula>
    </cfRule>
    <cfRule type="expression" dxfId="9231" priority="511">
      <formula>$C19&gt;$E$3</formula>
    </cfRule>
  </conditionalFormatting>
  <conditionalFormatting sqref="K19">
    <cfRule type="expression" dxfId="9230" priority="507">
      <formula>$C19&lt;$E$3</formula>
    </cfRule>
  </conditionalFormatting>
  <conditionalFormatting sqref="K19">
    <cfRule type="expression" dxfId="9229" priority="503">
      <formula>$C19=$E$3</formula>
    </cfRule>
    <cfRule type="expression" dxfId="9228" priority="504">
      <formula>$C19&lt;$E$3</formula>
    </cfRule>
    <cfRule type="cellIs" dxfId="9227" priority="505" operator="equal">
      <formula>0</formula>
    </cfRule>
    <cfRule type="expression" dxfId="9226" priority="506">
      <formula>$C19&gt;$E$3</formula>
    </cfRule>
  </conditionalFormatting>
  <conditionalFormatting sqref="K19">
    <cfRule type="expression" dxfId="9225" priority="502">
      <formula>$C19&lt;$E$3</formula>
    </cfRule>
  </conditionalFormatting>
  <conditionalFormatting sqref="K19">
    <cfRule type="expression" dxfId="9224" priority="498">
      <formula>$C19=$E$3</formula>
    </cfRule>
    <cfRule type="expression" dxfId="9223" priority="499">
      <formula>$C19&lt;$E$3</formula>
    </cfRule>
    <cfRule type="cellIs" dxfId="9222" priority="500" operator="equal">
      <formula>0</formula>
    </cfRule>
    <cfRule type="expression" dxfId="9221" priority="501">
      <formula>$C19&gt;$E$3</formula>
    </cfRule>
  </conditionalFormatting>
  <conditionalFormatting sqref="K19">
    <cfRule type="expression" dxfId="9220" priority="497">
      <formula>$E19=""</formula>
    </cfRule>
  </conditionalFormatting>
  <conditionalFormatting sqref="K19">
    <cfRule type="expression" dxfId="9219" priority="496">
      <formula>$C19&lt;$E$3</formula>
    </cfRule>
  </conditionalFormatting>
  <conditionalFormatting sqref="K19">
    <cfRule type="expression" dxfId="9218" priority="495">
      <formula>$E19=""</formula>
    </cfRule>
  </conditionalFormatting>
  <conditionalFormatting sqref="K19">
    <cfRule type="expression" dxfId="9217" priority="494">
      <formula>$E19=""</formula>
    </cfRule>
  </conditionalFormatting>
  <conditionalFormatting sqref="K19">
    <cfRule type="expression" dxfId="9216" priority="493">
      <formula>$C19&lt;$E$3</formula>
    </cfRule>
  </conditionalFormatting>
  <conditionalFormatting sqref="K19">
    <cfRule type="expression" dxfId="9215" priority="492">
      <formula>$E19=""</formula>
    </cfRule>
  </conditionalFormatting>
  <conditionalFormatting sqref="K19">
    <cfRule type="expression" dxfId="9214" priority="491">
      <formula>$C19&lt;$E$3</formula>
    </cfRule>
  </conditionalFormatting>
  <conditionalFormatting sqref="K19">
    <cfRule type="expression" dxfId="9213" priority="490">
      <formula>$E19=""</formula>
    </cfRule>
  </conditionalFormatting>
  <conditionalFormatting sqref="K19">
    <cfRule type="expression" dxfId="9212" priority="488">
      <formula>$E19=""</formula>
    </cfRule>
  </conditionalFormatting>
  <conditionalFormatting sqref="K14:K18">
    <cfRule type="expression" dxfId="9211" priority="483">
      <formula>$C14=$E$3</formula>
    </cfRule>
    <cfRule type="expression" dxfId="9210" priority="484">
      <formula>$C14&lt;$E$3</formula>
    </cfRule>
    <cfRule type="cellIs" dxfId="9209" priority="485" operator="equal">
      <formula>0</formula>
    </cfRule>
    <cfRule type="expression" dxfId="9208" priority="486">
      <formula>$C14&gt;$E$3</formula>
    </cfRule>
  </conditionalFormatting>
  <conditionalFormatting sqref="K14:K18">
    <cfRule type="expression" dxfId="9207" priority="482">
      <formula>$C14&lt;$E$3</formula>
    </cfRule>
  </conditionalFormatting>
  <conditionalFormatting sqref="K14:K18">
    <cfRule type="expression" dxfId="9206" priority="478">
      <formula>$C14=$E$3</formula>
    </cfRule>
    <cfRule type="expression" dxfId="9205" priority="479">
      <formula>$C14&lt;$E$3</formula>
    </cfRule>
    <cfRule type="cellIs" dxfId="9204" priority="480" operator="equal">
      <formula>0</formula>
    </cfRule>
    <cfRule type="expression" dxfId="9203" priority="481">
      <formula>$C14&gt;$E$3</formula>
    </cfRule>
  </conditionalFormatting>
  <conditionalFormatting sqref="K14:K18">
    <cfRule type="expression" dxfId="9202" priority="477">
      <formula>$C14&lt;$E$3</formula>
    </cfRule>
  </conditionalFormatting>
  <conditionalFormatting sqref="K14:K18">
    <cfRule type="expression" dxfId="9201" priority="473">
      <formula>$C14=$E$3</formula>
    </cfRule>
    <cfRule type="expression" dxfId="9200" priority="474">
      <formula>$C14&lt;$E$3</formula>
    </cfRule>
    <cfRule type="cellIs" dxfId="9199" priority="475" operator="equal">
      <formula>0</formula>
    </cfRule>
    <cfRule type="expression" dxfId="9198" priority="476">
      <formula>$C14&gt;$E$3</formula>
    </cfRule>
  </conditionalFormatting>
  <conditionalFormatting sqref="K14:K18">
    <cfRule type="expression" dxfId="9197" priority="472">
      <formula>$C14&lt;$E$3</formula>
    </cfRule>
  </conditionalFormatting>
  <conditionalFormatting sqref="K14:K18">
    <cfRule type="expression" dxfId="9196" priority="468">
      <formula>$C14=$E$3</formula>
    </cfRule>
    <cfRule type="expression" dxfId="9195" priority="469">
      <formula>$C14&lt;$E$3</formula>
    </cfRule>
    <cfRule type="cellIs" dxfId="9194" priority="470" operator="equal">
      <formula>0</formula>
    </cfRule>
    <cfRule type="expression" dxfId="9193" priority="471">
      <formula>$C14&gt;$E$3</formula>
    </cfRule>
  </conditionalFormatting>
  <conditionalFormatting sqref="K14:K18">
    <cfRule type="expression" dxfId="9192" priority="467">
      <formula>$E14=""</formula>
    </cfRule>
  </conditionalFormatting>
  <conditionalFormatting sqref="K14:K18">
    <cfRule type="expression" dxfId="9191" priority="466">
      <formula>$C14&lt;$E$3</formula>
    </cfRule>
  </conditionalFormatting>
  <conditionalFormatting sqref="K14:K18">
    <cfRule type="expression" dxfId="9190" priority="465">
      <formula>$E14=""</formula>
    </cfRule>
  </conditionalFormatting>
  <conditionalFormatting sqref="K14:K18">
    <cfRule type="expression" dxfId="9189" priority="464">
      <formula>$E14=""</formula>
    </cfRule>
  </conditionalFormatting>
  <conditionalFormatting sqref="K14:K18">
    <cfRule type="expression" dxfId="9188" priority="463">
      <formula>$C14&lt;$E$3</formula>
    </cfRule>
  </conditionalFormatting>
  <conditionalFormatting sqref="K14:K18">
    <cfRule type="expression" dxfId="9187" priority="462">
      <formula>$E14=""</formula>
    </cfRule>
  </conditionalFormatting>
  <conditionalFormatting sqref="K14:K18">
    <cfRule type="expression" dxfId="9186" priority="461">
      <formula>$C14&lt;$E$3</formula>
    </cfRule>
  </conditionalFormatting>
  <conditionalFormatting sqref="K14:K18">
    <cfRule type="expression" dxfId="9185" priority="460">
      <formula>$E14=""</formula>
    </cfRule>
  </conditionalFormatting>
  <conditionalFormatting sqref="K14:K18">
    <cfRule type="expression" dxfId="9184" priority="458">
      <formula>$E14=""</formula>
    </cfRule>
  </conditionalFormatting>
  <conditionalFormatting sqref="K14:K18">
    <cfRule type="expression" dxfId="9183" priority="453">
      <formula>$C14=$E$3</formula>
    </cfRule>
    <cfRule type="expression" dxfId="9182" priority="454">
      <formula>$C14&lt;$E$3</formula>
    </cfRule>
    <cfRule type="cellIs" dxfId="9181" priority="455" operator="equal">
      <formula>0</formula>
    </cfRule>
    <cfRule type="expression" dxfId="9180" priority="456">
      <formula>$C14&gt;$E$3</formula>
    </cfRule>
  </conditionalFormatting>
  <conditionalFormatting sqref="K14:K18">
    <cfRule type="expression" dxfId="9179" priority="452">
      <formula>$C14&lt;$E$3</formula>
    </cfRule>
  </conditionalFormatting>
  <conditionalFormatting sqref="K14:K18">
    <cfRule type="expression" dxfId="9178" priority="448">
      <formula>$C14=$E$3</formula>
    </cfRule>
    <cfRule type="expression" dxfId="9177" priority="449">
      <formula>$C14&lt;$E$3</formula>
    </cfRule>
    <cfRule type="cellIs" dxfId="9176" priority="450" operator="equal">
      <formula>0</formula>
    </cfRule>
    <cfRule type="expression" dxfId="9175" priority="451">
      <formula>$C14&gt;$E$3</formula>
    </cfRule>
  </conditionalFormatting>
  <conditionalFormatting sqref="K14:K18">
    <cfRule type="expression" dxfId="9174" priority="447">
      <formula>$C14&lt;$E$3</formula>
    </cfRule>
  </conditionalFormatting>
  <conditionalFormatting sqref="K14:K18">
    <cfRule type="expression" dxfId="9173" priority="443">
      <formula>$C14=$E$3</formula>
    </cfRule>
    <cfRule type="expression" dxfId="9172" priority="444">
      <formula>$C14&lt;$E$3</formula>
    </cfRule>
    <cfRule type="cellIs" dxfId="9171" priority="445" operator="equal">
      <formula>0</formula>
    </cfRule>
    <cfRule type="expression" dxfId="9170" priority="446">
      <formula>$C14&gt;$E$3</formula>
    </cfRule>
  </conditionalFormatting>
  <conditionalFormatting sqref="K14:K18">
    <cfRule type="expression" dxfId="9169" priority="442">
      <formula>$C14&lt;$E$3</formula>
    </cfRule>
  </conditionalFormatting>
  <conditionalFormatting sqref="K14:K18">
    <cfRule type="expression" dxfId="9168" priority="438">
      <formula>$C14=$E$3</formula>
    </cfRule>
    <cfRule type="expression" dxfId="9167" priority="439">
      <formula>$C14&lt;$E$3</formula>
    </cfRule>
    <cfRule type="cellIs" dxfId="9166" priority="440" operator="equal">
      <formula>0</formula>
    </cfRule>
    <cfRule type="expression" dxfId="9165" priority="441">
      <formula>$C14&gt;$E$3</formula>
    </cfRule>
  </conditionalFormatting>
  <conditionalFormatting sqref="K14:K18">
    <cfRule type="expression" dxfId="9164" priority="437">
      <formula>$E14=""</formula>
    </cfRule>
  </conditionalFormatting>
  <conditionalFormatting sqref="K14:K18">
    <cfRule type="expression" dxfId="9163" priority="436">
      <formula>$C14&lt;$E$3</formula>
    </cfRule>
  </conditionalFormatting>
  <conditionalFormatting sqref="K14:K18">
    <cfRule type="expression" dxfId="9162" priority="435">
      <formula>$E14=""</formula>
    </cfRule>
  </conditionalFormatting>
  <conditionalFormatting sqref="K14:K18">
    <cfRule type="expression" dxfId="9161" priority="434">
      <formula>$E14=""</formula>
    </cfRule>
  </conditionalFormatting>
  <conditionalFormatting sqref="K14:K18">
    <cfRule type="expression" dxfId="9160" priority="433">
      <formula>$C14&lt;$E$3</formula>
    </cfRule>
  </conditionalFormatting>
  <conditionalFormatting sqref="K14:K18">
    <cfRule type="expression" dxfId="9159" priority="432">
      <formula>$E14=""</formula>
    </cfRule>
  </conditionalFormatting>
  <conditionalFormatting sqref="K14:K18">
    <cfRule type="expression" dxfId="9158" priority="431">
      <formula>$C14&lt;$E$3</formula>
    </cfRule>
  </conditionalFormatting>
  <conditionalFormatting sqref="K14:K18">
    <cfRule type="expression" dxfId="9157" priority="430">
      <formula>$E14=""</formula>
    </cfRule>
  </conditionalFormatting>
  <conditionalFormatting sqref="K14:K18">
    <cfRule type="expression" dxfId="9156" priority="428">
      <formula>$E14=""</formula>
    </cfRule>
  </conditionalFormatting>
  <conditionalFormatting sqref="K14:K20">
    <cfRule type="expression" dxfId="9155" priority="426">
      <formula>$C14&lt;$E$3</formula>
    </cfRule>
  </conditionalFormatting>
  <conditionalFormatting sqref="K14:K20">
    <cfRule type="expression" dxfId="9154" priority="423">
      <formula>$C14=$E$3</formula>
    </cfRule>
    <cfRule type="expression" dxfId="9153" priority="424">
      <formula>$C14&lt;$E$3</formula>
    </cfRule>
    <cfRule type="cellIs" dxfId="9152" priority="425" operator="equal">
      <formula>0</formula>
    </cfRule>
    <cfRule type="expression" dxfId="9151" priority="427">
      <formula>$C14&gt;$E$3</formula>
    </cfRule>
  </conditionalFormatting>
  <conditionalFormatting sqref="K14:K20">
    <cfRule type="expression" dxfId="9150" priority="422">
      <formula>$E14=""</formula>
    </cfRule>
  </conditionalFormatting>
  <conditionalFormatting sqref="K14:K20">
    <cfRule type="expression" dxfId="9149" priority="421">
      <formula>$E14=""</formula>
    </cfRule>
  </conditionalFormatting>
  <conditionalFormatting sqref="K14:K20">
    <cfRule type="expression" dxfId="9148" priority="420">
      <formula>$E14=""</formula>
    </cfRule>
  </conditionalFormatting>
  <conditionalFormatting sqref="K23:K29">
    <cfRule type="cellIs" dxfId="9147" priority="419" stopIfTrue="1" operator="lessThan">
      <formula>0</formula>
    </cfRule>
  </conditionalFormatting>
  <conditionalFormatting sqref="K23:K29">
    <cfRule type="expression" dxfId="9146" priority="417">
      <formula>$C23&lt;$E$3</formula>
    </cfRule>
  </conditionalFormatting>
  <conditionalFormatting sqref="K23:K29">
    <cfRule type="expression" dxfId="9145" priority="414">
      <formula>$C23=$E$3</formula>
    </cfRule>
    <cfRule type="expression" dxfId="9144" priority="415">
      <formula>$C23&lt;$E$3</formula>
    </cfRule>
    <cfRule type="cellIs" dxfId="9143" priority="416" operator="equal">
      <formula>0</formula>
    </cfRule>
    <cfRule type="expression" dxfId="9142" priority="418">
      <formula>$C23&gt;$E$3</formula>
    </cfRule>
  </conditionalFormatting>
  <conditionalFormatting sqref="K23:K29">
    <cfRule type="expression" dxfId="9141" priority="413">
      <formula>$E23=""</formula>
    </cfRule>
  </conditionalFormatting>
  <conditionalFormatting sqref="K23:K29">
    <cfRule type="expression" dxfId="9140" priority="412">
      <formula>$E23=""</formula>
    </cfRule>
  </conditionalFormatting>
  <conditionalFormatting sqref="K23:K29">
    <cfRule type="expression" dxfId="9139" priority="411">
      <formula>$E23=""</formula>
    </cfRule>
  </conditionalFormatting>
  <conditionalFormatting sqref="K28">
    <cfRule type="expression" dxfId="9138" priority="410">
      <formula>$C28&lt;$E$3</formula>
    </cfRule>
  </conditionalFormatting>
  <conditionalFormatting sqref="K28">
    <cfRule type="expression" dxfId="9137" priority="406">
      <formula>$C28=$E$3</formula>
    </cfRule>
    <cfRule type="expression" dxfId="9136" priority="407">
      <formula>$C28&lt;$E$3</formula>
    </cfRule>
    <cfRule type="cellIs" dxfId="9135" priority="408" operator="equal">
      <formula>0</formula>
    </cfRule>
    <cfRule type="expression" dxfId="9134" priority="409">
      <formula>$C28&gt;$E$3</formula>
    </cfRule>
  </conditionalFormatting>
  <conditionalFormatting sqref="K28">
    <cfRule type="expression" dxfId="9133" priority="405">
      <formula>$C28&lt;$E$3</formula>
    </cfRule>
  </conditionalFormatting>
  <conditionalFormatting sqref="K28">
    <cfRule type="expression" dxfId="9132" priority="401">
      <formula>$C28=$E$3</formula>
    </cfRule>
    <cfRule type="expression" dxfId="9131" priority="402">
      <formula>$C28&lt;$E$3</formula>
    </cfRule>
    <cfRule type="cellIs" dxfId="9130" priority="403" operator="equal">
      <formula>0</formula>
    </cfRule>
    <cfRule type="expression" dxfId="9129" priority="404">
      <formula>$C28&gt;$E$3</formula>
    </cfRule>
  </conditionalFormatting>
  <conditionalFormatting sqref="K28">
    <cfRule type="expression" dxfId="9128" priority="400">
      <formula>$C28&lt;$E$3</formula>
    </cfRule>
  </conditionalFormatting>
  <conditionalFormatting sqref="K28">
    <cfRule type="expression" dxfId="9127" priority="396">
      <formula>$C28=$E$3</formula>
    </cfRule>
    <cfRule type="expression" dxfId="9126" priority="397">
      <formula>$C28&lt;$E$3</formula>
    </cfRule>
    <cfRule type="cellIs" dxfId="9125" priority="398" operator="equal">
      <formula>0</formula>
    </cfRule>
    <cfRule type="expression" dxfId="9124" priority="399">
      <formula>$C28&gt;$E$3</formula>
    </cfRule>
  </conditionalFormatting>
  <conditionalFormatting sqref="K28">
    <cfRule type="expression" dxfId="9123" priority="395">
      <formula>$C28&lt;$E$3</formula>
    </cfRule>
  </conditionalFormatting>
  <conditionalFormatting sqref="K28">
    <cfRule type="expression" dxfId="9122" priority="391">
      <formula>$C28=$E$3</formula>
    </cfRule>
    <cfRule type="expression" dxfId="9121" priority="392">
      <formula>$C28&lt;$E$3</formula>
    </cfRule>
    <cfRule type="cellIs" dxfId="9120" priority="393" operator="equal">
      <formula>0</formula>
    </cfRule>
    <cfRule type="expression" dxfId="9119" priority="394">
      <formula>$C28&gt;$E$3</formula>
    </cfRule>
  </conditionalFormatting>
  <conditionalFormatting sqref="K28">
    <cfRule type="expression" dxfId="9118" priority="390">
      <formula>$E28=""</formula>
    </cfRule>
  </conditionalFormatting>
  <conditionalFormatting sqref="K28">
    <cfRule type="expression" dxfId="9117" priority="389">
      <formula>$C28&lt;$E$3</formula>
    </cfRule>
  </conditionalFormatting>
  <conditionalFormatting sqref="K28">
    <cfRule type="expression" dxfId="9116" priority="388">
      <formula>$E28=""</formula>
    </cfRule>
  </conditionalFormatting>
  <conditionalFormatting sqref="K28">
    <cfRule type="expression" dxfId="9115" priority="387">
      <formula>$E28=""</formula>
    </cfRule>
  </conditionalFormatting>
  <conditionalFormatting sqref="K28">
    <cfRule type="expression" dxfId="9114" priority="386">
      <formula>$C28&lt;$E$3</formula>
    </cfRule>
  </conditionalFormatting>
  <conditionalFormatting sqref="K28">
    <cfRule type="expression" dxfId="9113" priority="385">
      <formula>$E28=""</formula>
    </cfRule>
  </conditionalFormatting>
  <conditionalFormatting sqref="K28">
    <cfRule type="expression" dxfId="9112" priority="384">
      <formula>$C28&lt;$E$3</formula>
    </cfRule>
  </conditionalFormatting>
  <conditionalFormatting sqref="K28">
    <cfRule type="expression" dxfId="9111" priority="383">
      <formula>$E28=""</formula>
    </cfRule>
  </conditionalFormatting>
  <conditionalFormatting sqref="K28">
    <cfRule type="expression" dxfId="9110" priority="381">
      <formula>$E28=""</formula>
    </cfRule>
  </conditionalFormatting>
  <conditionalFormatting sqref="K28">
    <cfRule type="expression" dxfId="9109" priority="376">
      <formula>$C28=$E$3</formula>
    </cfRule>
    <cfRule type="expression" dxfId="9108" priority="377">
      <formula>$C28&lt;$E$3</formula>
    </cfRule>
    <cfRule type="cellIs" dxfId="9107" priority="378" operator="equal">
      <formula>0</formula>
    </cfRule>
    <cfRule type="expression" dxfId="9106" priority="379">
      <formula>$C28&gt;$E$3</formula>
    </cfRule>
  </conditionalFormatting>
  <conditionalFormatting sqref="K28">
    <cfRule type="expression" dxfId="9105" priority="375">
      <formula>$C28&lt;$E$3</formula>
    </cfRule>
  </conditionalFormatting>
  <conditionalFormatting sqref="K28">
    <cfRule type="expression" dxfId="9104" priority="371">
      <formula>$C28=$E$3</formula>
    </cfRule>
    <cfRule type="expression" dxfId="9103" priority="372">
      <formula>$C28&lt;$E$3</formula>
    </cfRule>
    <cfRule type="cellIs" dxfId="9102" priority="373" operator="equal">
      <formula>0</formula>
    </cfRule>
    <cfRule type="expression" dxfId="9101" priority="374">
      <formula>$C28&gt;$E$3</formula>
    </cfRule>
  </conditionalFormatting>
  <conditionalFormatting sqref="K28">
    <cfRule type="expression" dxfId="9100" priority="370">
      <formula>$C28&lt;$E$3</formula>
    </cfRule>
  </conditionalFormatting>
  <conditionalFormatting sqref="K28">
    <cfRule type="expression" dxfId="9099" priority="366">
      <formula>$C28=$E$3</formula>
    </cfRule>
    <cfRule type="expression" dxfId="9098" priority="367">
      <formula>$C28&lt;$E$3</formula>
    </cfRule>
    <cfRule type="cellIs" dxfId="9097" priority="368" operator="equal">
      <formula>0</formula>
    </cfRule>
    <cfRule type="expression" dxfId="9096" priority="369">
      <formula>$C28&gt;$E$3</formula>
    </cfRule>
  </conditionalFormatting>
  <conditionalFormatting sqref="K28">
    <cfRule type="expression" dxfId="9095" priority="365">
      <formula>$C28&lt;$E$3</formula>
    </cfRule>
  </conditionalFormatting>
  <conditionalFormatting sqref="K28">
    <cfRule type="expression" dxfId="9094" priority="361">
      <formula>$C28=$E$3</formula>
    </cfRule>
    <cfRule type="expression" dxfId="9093" priority="362">
      <formula>$C28&lt;$E$3</formula>
    </cfRule>
    <cfRule type="cellIs" dxfId="9092" priority="363" operator="equal">
      <formula>0</formula>
    </cfRule>
    <cfRule type="expression" dxfId="9091" priority="364">
      <formula>$C28&gt;$E$3</formula>
    </cfRule>
  </conditionalFormatting>
  <conditionalFormatting sqref="K28">
    <cfRule type="expression" dxfId="9090" priority="360">
      <formula>$E28=""</formula>
    </cfRule>
  </conditionalFormatting>
  <conditionalFormatting sqref="K28">
    <cfRule type="expression" dxfId="9089" priority="359">
      <formula>$C28&lt;$E$3</formula>
    </cfRule>
  </conditionalFormatting>
  <conditionalFormatting sqref="K28">
    <cfRule type="expression" dxfId="9088" priority="358">
      <formula>$E28=""</formula>
    </cfRule>
  </conditionalFormatting>
  <conditionalFormatting sqref="K28">
    <cfRule type="expression" dxfId="9087" priority="357">
      <formula>$E28=""</formula>
    </cfRule>
  </conditionalFormatting>
  <conditionalFormatting sqref="K28">
    <cfRule type="expression" dxfId="9086" priority="356">
      <formula>$C28&lt;$E$3</formula>
    </cfRule>
  </conditionalFormatting>
  <conditionalFormatting sqref="K28">
    <cfRule type="expression" dxfId="9085" priority="355">
      <formula>$E28=""</formula>
    </cfRule>
  </conditionalFormatting>
  <conditionalFormatting sqref="K28">
    <cfRule type="expression" dxfId="9084" priority="354">
      <formula>$C28&lt;$E$3</formula>
    </cfRule>
  </conditionalFormatting>
  <conditionalFormatting sqref="K28">
    <cfRule type="expression" dxfId="9083" priority="353">
      <formula>$E28=""</formula>
    </cfRule>
  </conditionalFormatting>
  <conditionalFormatting sqref="K28">
    <cfRule type="expression" dxfId="9082" priority="351">
      <formula>$E28=""</formula>
    </cfRule>
  </conditionalFormatting>
  <conditionalFormatting sqref="K23:K27">
    <cfRule type="expression" dxfId="9081" priority="346">
      <formula>$C23=$E$3</formula>
    </cfRule>
    <cfRule type="expression" dxfId="9080" priority="347">
      <formula>$C23&lt;$E$3</formula>
    </cfRule>
    <cfRule type="cellIs" dxfId="9079" priority="348" operator="equal">
      <formula>0</formula>
    </cfRule>
    <cfRule type="expression" dxfId="9078" priority="349">
      <formula>$C23&gt;$E$3</formula>
    </cfRule>
  </conditionalFormatting>
  <conditionalFormatting sqref="K23:K27">
    <cfRule type="expression" dxfId="9077" priority="345">
      <formula>$C23&lt;$E$3</formula>
    </cfRule>
  </conditionalFormatting>
  <conditionalFormatting sqref="K23:K27">
    <cfRule type="expression" dxfId="9076" priority="341">
      <formula>$C23=$E$3</formula>
    </cfRule>
    <cfRule type="expression" dxfId="9075" priority="342">
      <formula>$C23&lt;$E$3</formula>
    </cfRule>
    <cfRule type="cellIs" dxfId="9074" priority="343" operator="equal">
      <formula>0</formula>
    </cfRule>
    <cfRule type="expression" dxfId="9073" priority="344">
      <formula>$C23&gt;$E$3</formula>
    </cfRule>
  </conditionalFormatting>
  <conditionalFormatting sqref="K23:K27">
    <cfRule type="expression" dxfId="9072" priority="340">
      <formula>$C23&lt;$E$3</formula>
    </cfRule>
  </conditionalFormatting>
  <conditionalFormatting sqref="K23:K27">
    <cfRule type="expression" dxfId="9071" priority="336">
      <formula>$C23=$E$3</formula>
    </cfRule>
    <cfRule type="expression" dxfId="9070" priority="337">
      <formula>$C23&lt;$E$3</formula>
    </cfRule>
    <cfRule type="cellIs" dxfId="9069" priority="338" operator="equal">
      <formula>0</formula>
    </cfRule>
    <cfRule type="expression" dxfId="9068" priority="339">
      <formula>$C23&gt;$E$3</formula>
    </cfRule>
  </conditionalFormatting>
  <conditionalFormatting sqref="K23:K27">
    <cfRule type="expression" dxfId="9067" priority="335">
      <formula>$C23&lt;$E$3</formula>
    </cfRule>
  </conditionalFormatting>
  <conditionalFormatting sqref="K23:K27">
    <cfRule type="expression" dxfId="9066" priority="331">
      <formula>$C23=$E$3</formula>
    </cfRule>
    <cfRule type="expression" dxfId="9065" priority="332">
      <formula>$C23&lt;$E$3</formula>
    </cfRule>
    <cfRule type="cellIs" dxfId="9064" priority="333" operator="equal">
      <formula>0</formula>
    </cfRule>
    <cfRule type="expression" dxfId="9063" priority="334">
      <formula>$C23&gt;$E$3</formula>
    </cfRule>
  </conditionalFormatting>
  <conditionalFormatting sqref="K23:K27">
    <cfRule type="expression" dxfId="9062" priority="330">
      <formula>$E23=""</formula>
    </cfRule>
  </conditionalFormatting>
  <conditionalFormatting sqref="K23:K27">
    <cfRule type="expression" dxfId="9061" priority="329">
      <formula>$C23&lt;$E$3</formula>
    </cfRule>
  </conditionalFormatting>
  <conditionalFormatting sqref="K23:K27">
    <cfRule type="expression" dxfId="9060" priority="328">
      <formula>$E23=""</formula>
    </cfRule>
  </conditionalFormatting>
  <conditionalFormatting sqref="K23:K27">
    <cfRule type="expression" dxfId="9059" priority="327">
      <formula>$E23=""</formula>
    </cfRule>
  </conditionalFormatting>
  <conditionalFormatting sqref="K23:K27">
    <cfRule type="expression" dxfId="9058" priority="326">
      <formula>$C23&lt;$E$3</formula>
    </cfRule>
  </conditionalFormatting>
  <conditionalFormatting sqref="K23:K27">
    <cfRule type="expression" dxfId="9057" priority="325">
      <formula>$E23=""</formula>
    </cfRule>
  </conditionalFormatting>
  <conditionalFormatting sqref="K23:K27">
    <cfRule type="expression" dxfId="9056" priority="324">
      <formula>$C23&lt;$E$3</formula>
    </cfRule>
  </conditionalFormatting>
  <conditionalFormatting sqref="K23:K27">
    <cfRule type="expression" dxfId="9055" priority="323">
      <formula>$E23=""</formula>
    </cfRule>
  </conditionalFormatting>
  <conditionalFormatting sqref="K23:K27">
    <cfRule type="expression" dxfId="9054" priority="321">
      <formula>$E23=""</formula>
    </cfRule>
  </conditionalFormatting>
  <conditionalFormatting sqref="K23:K27">
    <cfRule type="expression" dxfId="9053" priority="316">
      <formula>$C23=$E$3</formula>
    </cfRule>
    <cfRule type="expression" dxfId="9052" priority="317">
      <formula>$C23&lt;$E$3</formula>
    </cfRule>
    <cfRule type="cellIs" dxfId="9051" priority="318" operator="equal">
      <formula>0</formula>
    </cfRule>
    <cfRule type="expression" dxfId="9050" priority="319">
      <formula>$C23&gt;$E$3</formula>
    </cfRule>
  </conditionalFormatting>
  <conditionalFormatting sqref="K23:K27">
    <cfRule type="expression" dxfId="9049" priority="315">
      <formula>$C23&lt;$E$3</formula>
    </cfRule>
  </conditionalFormatting>
  <conditionalFormatting sqref="K23:K27">
    <cfRule type="expression" dxfId="9048" priority="311">
      <formula>$C23=$E$3</formula>
    </cfRule>
    <cfRule type="expression" dxfId="9047" priority="312">
      <formula>$C23&lt;$E$3</formula>
    </cfRule>
    <cfRule type="cellIs" dxfId="9046" priority="313" operator="equal">
      <formula>0</formula>
    </cfRule>
    <cfRule type="expression" dxfId="9045" priority="314">
      <formula>$C23&gt;$E$3</formula>
    </cfRule>
  </conditionalFormatting>
  <conditionalFormatting sqref="K23:K27">
    <cfRule type="expression" dxfId="9044" priority="310">
      <formula>$C23&lt;$E$3</formula>
    </cfRule>
  </conditionalFormatting>
  <conditionalFormatting sqref="K23:K27">
    <cfRule type="expression" dxfId="9043" priority="306">
      <formula>$C23=$E$3</formula>
    </cfRule>
    <cfRule type="expression" dxfId="9042" priority="307">
      <formula>$C23&lt;$E$3</formula>
    </cfRule>
    <cfRule type="cellIs" dxfId="9041" priority="308" operator="equal">
      <formula>0</formula>
    </cfRule>
    <cfRule type="expression" dxfId="9040" priority="309">
      <formula>$C23&gt;$E$3</formula>
    </cfRule>
  </conditionalFormatting>
  <conditionalFormatting sqref="K23:K27">
    <cfRule type="expression" dxfId="9039" priority="305">
      <formula>$C23&lt;$E$3</formula>
    </cfRule>
  </conditionalFormatting>
  <conditionalFormatting sqref="K23:K27">
    <cfRule type="expression" dxfId="9038" priority="301">
      <formula>$C23=$E$3</formula>
    </cfRule>
    <cfRule type="expression" dxfId="9037" priority="302">
      <formula>$C23&lt;$E$3</formula>
    </cfRule>
    <cfRule type="cellIs" dxfId="9036" priority="303" operator="equal">
      <formula>0</formula>
    </cfRule>
    <cfRule type="expression" dxfId="9035" priority="304">
      <formula>$C23&gt;$E$3</formula>
    </cfRule>
  </conditionalFormatting>
  <conditionalFormatting sqref="K23:K27">
    <cfRule type="expression" dxfId="9034" priority="300">
      <formula>$E23=""</formula>
    </cfRule>
  </conditionalFormatting>
  <conditionalFormatting sqref="K23:K27">
    <cfRule type="expression" dxfId="9033" priority="299">
      <formula>$C23&lt;$E$3</formula>
    </cfRule>
  </conditionalFormatting>
  <conditionalFormatting sqref="K23:K27">
    <cfRule type="expression" dxfId="9032" priority="298">
      <formula>$E23=""</formula>
    </cfRule>
  </conditionalFormatting>
  <conditionalFormatting sqref="K23:K27">
    <cfRule type="expression" dxfId="9031" priority="297">
      <formula>$E23=""</formula>
    </cfRule>
  </conditionalFormatting>
  <conditionalFormatting sqref="K23:K27">
    <cfRule type="expression" dxfId="9030" priority="296">
      <formula>$C23&lt;$E$3</formula>
    </cfRule>
  </conditionalFormatting>
  <conditionalFormatting sqref="K23:K27">
    <cfRule type="expression" dxfId="9029" priority="295">
      <formula>$E23=""</formula>
    </cfRule>
  </conditionalFormatting>
  <conditionalFormatting sqref="K23:K27">
    <cfRule type="expression" dxfId="9028" priority="294">
      <formula>$C23&lt;$E$3</formula>
    </cfRule>
  </conditionalFormatting>
  <conditionalFormatting sqref="K23:K27">
    <cfRule type="expression" dxfId="9027" priority="293">
      <formula>$E23=""</formula>
    </cfRule>
  </conditionalFormatting>
  <conditionalFormatting sqref="K23:K27">
    <cfRule type="expression" dxfId="9026" priority="291">
      <formula>$E23=""</formula>
    </cfRule>
  </conditionalFormatting>
  <conditionalFormatting sqref="K23:K29">
    <cfRule type="expression" dxfId="9025" priority="289">
      <formula>$C23&lt;$E$3</formula>
    </cfRule>
  </conditionalFormatting>
  <conditionalFormatting sqref="K23:K29">
    <cfRule type="expression" dxfId="9024" priority="286">
      <formula>$C23=$E$3</formula>
    </cfRule>
    <cfRule type="expression" dxfId="9023" priority="287">
      <formula>$C23&lt;$E$3</formula>
    </cfRule>
    <cfRule type="cellIs" dxfId="9022" priority="288" operator="equal">
      <formula>0</formula>
    </cfRule>
    <cfRule type="expression" dxfId="9021" priority="290">
      <formula>$C23&gt;$E$3</formula>
    </cfRule>
  </conditionalFormatting>
  <conditionalFormatting sqref="K23:K29">
    <cfRule type="expression" dxfId="9020" priority="285">
      <formula>$E23=""</formula>
    </cfRule>
  </conditionalFormatting>
  <conditionalFormatting sqref="K23:K29">
    <cfRule type="expression" dxfId="9019" priority="284">
      <formula>$E23=""</formula>
    </cfRule>
  </conditionalFormatting>
  <conditionalFormatting sqref="K23:K29">
    <cfRule type="expression" dxfId="9018" priority="283">
      <formula>$E23=""</formula>
    </cfRule>
  </conditionalFormatting>
  <conditionalFormatting sqref="K32:K38">
    <cfRule type="cellIs" dxfId="9017" priority="282" stopIfTrue="1" operator="lessThan">
      <formula>0</formula>
    </cfRule>
  </conditionalFormatting>
  <conditionalFormatting sqref="K32:K38">
    <cfRule type="expression" dxfId="9016" priority="280">
      <formula>$C32&lt;$E$3</formula>
    </cfRule>
  </conditionalFormatting>
  <conditionalFormatting sqref="K32:K38">
    <cfRule type="expression" dxfId="9015" priority="277">
      <formula>$C32=$E$3</formula>
    </cfRule>
    <cfRule type="expression" dxfId="9014" priority="278">
      <formula>$C32&lt;$E$3</formula>
    </cfRule>
    <cfRule type="cellIs" dxfId="9013" priority="279" operator="equal">
      <formula>0</formula>
    </cfRule>
    <cfRule type="expression" dxfId="9012" priority="281">
      <formula>$C32&gt;$E$3</formula>
    </cfRule>
  </conditionalFormatting>
  <conditionalFormatting sqref="K32:K38">
    <cfRule type="expression" dxfId="9011" priority="276">
      <formula>$E32=""</formula>
    </cfRule>
  </conditionalFormatting>
  <conditionalFormatting sqref="K32:K38">
    <cfRule type="expression" dxfId="9010" priority="275">
      <formula>$E32=""</formula>
    </cfRule>
  </conditionalFormatting>
  <conditionalFormatting sqref="K32:K38">
    <cfRule type="expression" dxfId="9009" priority="274">
      <formula>$E32=""</formula>
    </cfRule>
  </conditionalFormatting>
  <conditionalFormatting sqref="K37">
    <cfRule type="expression" dxfId="9008" priority="273">
      <formula>$C37&lt;$E$3</formula>
    </cfRule>
  </conditionalFormatting>
  <conditionalFormatting sqref="K37">
    <cfRule type="expression" dxfId="9007" priority="269">
      <formula>$C37=$E$3</formula>
    </cfRule>
    <cfRule type="expression" dxfId="9006" priority="270">
      <formula>$C37&lt;$E$3</formula>
    </cfRule>
    <cfRule type="cellIs" dxfId="9005" priority="271" operator="equal">
      <formula>0</formula>
    </cfRule>
    <cfRule type="expression" dxfId="9004" priority="272">
      <formula>$C37&gt;$E$3</formula>
    </cfRule>
  </conditionalFormatting>
  <conditionalFormatting sqref="K37">
    <cfRule type="expression" dxfId="9003" priority="268">
      <formula>$C37&lt;$E$3</formula>
    </cfRule>
  </conditionalFormatting>
  <conditionalFormatting sqref="K37">
    <cfRule type="expression" dxfId="9002" priority="264">
      <formula>$C37=$E$3</formula>
    </cfRule>
    <cfRule type="expression" dxfId="9001" priority="265">
      <formula>$C37&lt;$E$3</formula>
    </cfRule>
    <cfRule type="cellIs" dxfId="9000" priority="266" operator="equal">
      <formula>0</formula>
    </cfRule>
    <cfRule type="expression" dxfId="8999" priority="267">
      <formula>$C37&gt;$E$3</formula>
    </cfRule>
  </conditionalFormatting>
  <conditionalFormatting sqref="K37">
    <cfRule type="expression" dxfId="8998" priority="253">
      <formula>$E37=""</formula>
    </cfRule>
  </conditionalFormatting>
  <conditionalFormatting sqref="K37">
    <cfRule type="expression" dxfId="8997" priority="252">
      <formula>$C37&lt;$E$3</formula>
    </cfRule>
  </conditionalFormatting>
  <conditionalFormatting sqref="K37">
    <cfRule type="expression" dxfId="8996" priority="251">
      <formula>$E37=""</formula>
    </cfRule>
  </conditionalFormatting>
  <conditionalFormatting sqref="K37">
    <cfRule type="expression" dxfId="8995" priority="250">
      <formula>$E37=""</formula>
    </cfRule>
  </conditionalFormatting>
  <conditionalFormatting sqref="K37">
    <cfRule type="expression" dxfId="8994" priority="249">
      <formula>$C37&lt;$E$3</formula>
    </cfRule>
  </conditionalFormatting>
  <conditionalFormatting sqref="K37">
    <cfRule type="expression" dxfId="8993" priority="248">
      <formula>$E37=""</formula>
    </cfRule>
  </conditionalFormatting>
  <conditionalFormatting sqref="K37">
    <cfRule type="expression" dxfId="8992" priority="247">
      <formula>$C37&lt;$E$3</formula>
    </cfRule>
  </conditionalFormatting>
  <conditionalFormatting sqref="K37">
    <cfRule type="expression" dxfId="8991" priority="246">
      <formula>$E37=""</formula>
    </cfRule>
  </conditionalFormatting>
  <conditionalFormatting sqref="K37">
    <cfRule type="expression" dxfId="8990" priority="244">
      <formula>$E37=""</formula>
    </cfRule>
  </conditionalFormatting>
  <conditionalFormatting sqref="K37">
    <cfRule type="expression" dxfId="8989" priority="239">
      <formula>$C37=$E$3</formula>
    </cfRule>
    <cfRule type="expression" dxfId="8988" priority="240">
      <formula>$C37&lt;$E$3</formula>
    </cfRule>
    <cfRule type="cellIs" dxfId="8987" priority="241" operator="equal">
      <formula>0</formula>
    </cfRule>
    <cfRule type="expression" dxfId="8986" priority="242">
      <formula>$C37&gt;$E$3</formula>
    </cfRule>
  </conditionalFormatting>
  <conditionalFormatting sqref="K37">
    <cfRule type="expression" dxfId="8985" priority="238">
      <formula>$C37&lt;$E$3</formula>
    </cfRule>
  </conditionalFormatting>
  <conditionalFormatting sqref="K37">
    <cfRule type="expression" dxfId="8984" priority="234">
      <formula>$C37=$E$3</formula>
    </cfRule>
    <cfRule type="expression" dxfId="8983" priority="235">
      <formula>$C37&lt;$E$3</formula>
    </cfRule>
    <cfRule type="cellIs" dxfId="8982" priority="236" operator="equal">
      <formula>0</formula>
    </cfRule>
    <cfRule type="expression" dxfId="8981" priority="237">
      <formula>$C37&gt;$E$3</formula>
    </cfRule>
  </conditionalFormatting>
  <conditionalFormatting sqref="K37">
    <cfRule type="expression" dxfId="8980" priority="223">
      <formula>$E37=""</formula>
    </cfRule>
  </conditionalFormatting>
  <conditionalFormatting sqref="K37">
    <cfRule type="expression" dxfId="8979" priority="222">
      <formula>$C37&lt;$E$3</formula>
    </cfRule>
  </conditionalFormatting>
  <conditionalFormatting sqref="K37">
    <cfRule type="expression" dxfId="8978" priority="221">
      <formula>$E37=""</formula>
    </cfRule>
  </conditionalFormatting>
  <conditionalFormatting sqref="K37">
    <cfRule type="expression" dxfId="8977" priority="220">
      <formula>$E37=""</formula>
    </cfRule>
  </conditionalFormatting>
  <conditionalFormatting sqref="K37">
    <cfRule type="expression" dxfId="8976" priority="219">
      <formula>$C37&lt;$E$3</formula>
    </cfRule>
  </conditionalFormatting>
  <conditionalFormatting sqref="K37">
    <cfRule type="expression" dxfId="8975" priority="218">
      <formula>$E37=""</formula>
    </cfRule>
  </conditionalFormatting>
  <conditionalFormatting sqref="K37">
    <cfRule type="expression" dxfId="8974" priority="217">
      <formula>$C37&lt;$E$3</formula>
    </cfRule>
  </conditionalFormatting>
  <conditionalFormatting sqref="K37">
    <cfRule type="expression" dxfId="8973" priority="216">
      <formula>$E37=""</formula>
    </cfRule>
  </conditionalFormatting>
  <conditionalFormatting sqref="K37">
    <cfRule type="expression" dxfId="8972" priority="214">
      <formula>$E37=""</formula>
    </cfRule>
  </conditionalFormatting>
  <conditionalFormatting sqref="K32:K36">
    <cfRule type="expression" dxfId="8971" priority="209">
      <formula>$C32=$E$3</formula>
    </cfRule>
    <cfRule type="expression" dxfId="8970" priority="210">
      <formula>$C32&lt;$E$3</formula>
    </cfRule>
    <cfRule type="cellIs" dxfId="8969" priority="211" operator="equal">
      <formula>0</formula>
    </cfRule>
    <cfRule type="expression" dxfId="8968" priority="212">
      <formula>$C32&gt;$E$3</formula>
    </cfRule>
  </conditionalFormatting>
  <conditionalFormatting sqref="K32:K36">
    <cfRule type="expression" dxfId="8967" priority="208">
      <formula>$C32&lt;$E$3</formula>
    </cfRule>
  </conditionalFormatting>
  <conditionalFormatting sqref="K32:K36">
    <cfRule type="expression" dxfId="8966" priority="204">
      <formula>$C32=$E$3</formula>
    </cfRule>
    <cfRule type="expression" dxfId="8965" priority="205">
      <formula>$C32&lt;$E$3</formula>
    </cfRule>
    <cfRule type="cellIs" dxfId="8964" priority="206" operator="equal">
      <formula>0</formula>
    </cfRule>
    <cfRule type="expression" dxfId="8963" priority="207">
      <formula>$C32&gt;$E$3</formula>
    </cfRule>
  </conditionalFormatting>
  <conditionalFormatting sqref="K32:K36">
    <cfRule type="expression" dxfId="8962" priority="193">
      <formula>$E32=""</formula>
    </cfRule>
  </conditionalFormatting>
  <conditionalFormatting sqref="K32:K36">
    <cfRule type="expression" dxfId="8961" priority="192">
      <formula>$C32&lt;$E$3</formula>
    </cfRule>
  </conditionalFormatting>
  <conditionalFormatting sqref="K32:K36">
    <cfRule type="expression" dxfId="8960" priority="191">
      <formula>$E32=""</formula>
    </cfRule>
  </conditionalFormatting>
  <conditionalFormatting sqref="K32:K36">
    <cfRule type="expression" dxfId="8959" priority="190">
      <formula>$E32=""</formula>
    </cfRule>
  </conditionalFormatting>
  <conditionalFormatting sqref="K32:K36">
    <cfRule type="expression" dxfId="8958" priority="189">
      <formula>$C32&lt;$E$3</formula>
    </cfRule>
  </conditionalFormatting>
  <conditionalFormatting sqref="K32:K36">
    <cfRule type="expression" dxfId="8957" priority="188">
      <formula>$E32=""</formula>
    </cfRule>
  </conditionalFormatting>
  <conditionalFormatting sqref="K32:K36">
    <cfRule type="expression" dxfId="8956" priority="187">
      <formula>$C32&lt;$E$3</formula>
    </cfRule>
  </conditionalFormatting>
  <conditionalFormatting sqref="K32:K36">
    <cfRule type="expression" dxfId="8955" priority="186">
      <formula>$E32=""</formula>
    </cfRule>
  </conditionalFormatting>
  <conditionalFormatting sqref="K32:K36">
    <cfRule type="expression" dxfId="8954" priority="184">
      <formula>$E32=""</formula>
    </cfRule>
  </conditionalFormatting>
  <conditionalFormatting sqref="K32:K36">
    <cfRule type="expression" dxfId="8953" priority="179">
      <formula>$C32=$E$3</formula>
    </cfRule>
    <cfRule type="expression" dxfId="8952" priority="180">
      <formula>$C32&lt;$E$3</formula>
    </cfRule>
    <cfRule type="cellIs" dxfId="8951" priority="181" operator="equal">
      <formula>0</formula>
    </cfRule>
    <cfRule type="expression" dxfId="8950" priority="182">
      <formula>$C32&gt;$E$3</formula>
    </cfRule>
  </conditionalFormatting>
  <conditionalFormatting sqref="K32:K36">
    <cfRule type="expression" dxfId="8949" priority="178">
      <formula>$C32&lt;$E$3</formula>
    </cfRule>
  </conditionalFormatting>
  <conditionalFormatting sqref="K32:K36">
    <cfRule type="expression" dxfId="8948" priority="174">
      <formula>$C32=$E$3</formula>
    </cfRule>
    <cfRule type="expression" dxfId="8947" priority="175">
      <formula>$C32&lt;$E$3</formula>
    </cfRule>
    <cfRule type="cellIs" dxfId="8946" priority="176" operator="equal">
      <formula>0</formula>
    </cfRule>
    <cfRule type="expression" dxfId="8945" priority="177">
      <formula>$C32&gt;$E$3</formula>
    </cfRule>
  </conditionalFormatting>
  <conditionalFormatting sqref="K32:K36">
    <cfRule type="expression" dxfId="8944" priority="173">
      <formula>$C32&lt;$E$3</formula>
    </cfRule>
  </conditionalFormatting>
  <conditionalFormatting sqref="K32:K36">
    <cfRule type="expression" dxfId="8943" priority="169">
      <formula>$C32=$E$3</formula>
    </cfRule>
    <cfRule type="expression" dxfId="8942" priority="170">
      <formula>$C32&lt;$E$3</formula>
    </cfRule>
    <cfRule type="cellIs" dxfId="8941" priority="171" operator="equal">
      <formula>0</formula>
    </cfRule>
    <cfRule type="expression" dxfId="8940" priority="172">
      <formula>$C32&gt;$E$3</formula>
    </cfRule>
  </conditionalFormatting>
  <conditionalFormatting sqref="K32:K36">
    <cfRule type="expression" dxfId="8939" priority="168">
      <formula>$C32&lt;$E$3</formula>
    </cfRule>
  </conditionalFormatting>
  <conditionalFormatting sqref="K32:K36">
    <cfRule type="expression" dxfId="8938" priority="164">
      <formula>$C32=$E$3</formula>
    </cfRule>
    <cfRule type="expression" dxfId="8937" priority="165">
      <formula>$C32&lt;$E$3</formula>
    </cfRule>
    <cfRule type="cellIs" dxfId="8936" priority="166" operator="equal">
      <formula>0</formula>
    </cfRule>
    <cfRule type="expression" dxfId="8935" priority="167">
      <formula>$C32&gt;$E$3</formula>
    </cfRule>
  </conditionalFormatting>
  <conditionalFormatting sqref="K32:K36">
    <cfRule type="expression" dxfId="8934" priority="163">
      <formula>$E32=""</formula>
    </cfRule>
  </conditionalFormatting>
  <conditionalFormatting sqref="K32:K36">
    <cfRule type="expression" dxfId="8933" priority="162">
      <formula>$C32&lt;$E$3</formula>
    </cfRule>
  </conditionalFormatting>
  <conditionalFormatting sqref="K32:K36">
    <cfRule type="expression" dxfId="8932" priority="161">
      <formula>$E32=""</formula>
    </cfRule>
  </conditionalFormatting>
  <conditionalFormatting sqref="K32:K36">
    <cfRule type="expression" dxfId="8931" priority="160">
      <formula>$E32=""</formula>
    </cfRule>
  </conditionalFormatting>
  <conditionalFormatting sqref="K32:K36">
    <cfRule type="expression" dxfId="8930" priority="159">
      <formula>$C32&lt;$E$3</formula>
    </cfRule>
  </conditionalFormatting>
  <conditionalFormatting sqref="K32:K36">
    <cfRule type="expression" dxfId="8929" priority="158">
      <formula>$E32=""</formula>
    </cfRule>
  </conditionalFormatting>
  <conditionalFormatting sqref="K32:K36">
    <cfRule type="expression" dxfId="8928" priority="157">
      <formula>$C32&lt;$E$3</formula>
    </cfRule>
  </conditionalFormatting>
  <conditionalFormatting sqref="K32:K36">
    <cfRule type="expression" dxfId="8927" priority="156">
      <formula>$E32=""</formula>
    </cfRule>
  </conditionalFormatting>
  <conditionalFormatting sqref="K32:K36">
    <cfRule type="expression" dxfId="8926" priority="154">
      <formula>$E32=""</formula>
    </cfRule>
  </conditionalFormatting>
  <conditionalFormatting sqref="K32:K38">
    <cfRule type="expression" dxfId="8925" priority="152">
      <formula>$C32&lt;$E$3</formula>
    </cfRule>
  </conditionalFormatting>
  <conditionalFormatting sqref="K32:K38">
    <cfRule type="expression" dxfId="8924" priority="149">
      <formula>$C32=$E$3</formula>
    </cfRule>
    <cfRule type="expression" dxfId="8923" priority="150">
      <formula>$C32&lt;$E$3</formula>
    </cfRule>
    <cfRule type="cellIs" dxfId="8922" priority="151" operator="equal">
      <formula>0</formula>
    </cfRule>
    <cfRule type="expression" dxfId="8921" priority="153">
      <formula>$C32&gt;$E$3</formula>
    </cfRule>
  </conditionalFormatting>
  <conditionalFormatting sqref="K32:K38">
    <cfRule type="expression" dxfId="8920" priority="148">
      <formula>$E32=""</formula>
    </cfRule>
  </conditionalFormatting>
  <conditionalFormatting sqref="K32:K38">
    <cfRule type="expression" dxfId="8919" priority="147">
      <formula>$E32=""</formula>
    </cfRule>
  </conditionalFormatting>
  <conditionalFormatting sqref="K32:K38">
    <cfRule type="expression" dxfId="8918" priority="146">
      <formula>$E32=""</formula>
    </cfRule>
  </conditionalFormatting>
  <conditionalFormatting sqref="K41:K47">
    <cfRule type="cellIs" dxfId="8917" priority="145" stopIfTrue="1" operator="lessThan">
      <formula>0</formula>
    </cfRule>
  </conditionalFormatting>
  <conditionalFormatting sqref="K41:K47">
    <cfRule type="expression" dxfId="8916" priority="143">
      <formula>$C41&lt;$E$3</formula>
    </cfRule>
  </conditionalFormatting>
  <conditionalFormatting sqref="K41:K47">
    <cfRule type="expression" dxfId="8915" priority="140">
      <formula>$C41=$E$3</formula>
    </cfRule>
    <cfRule type="expression" dxfId="8914" priority="141">
      <formula>$C41&lt;$E$3</formula>
    </cfRule>
    <cfRule type="cellIs" dxfId="8913" priority="142" operator="equal">
      <formula>0</formula>
    </cfRule>
    <cfRule type="expression" dxfId="8912" priority="144">
      <formula>$C41&gt;$E$3</formula>
    </cfRule>
  </conditionalFormatting>
  <conditionalFormatting sqref="K41:K47">
    <cfRule type="expression" dxfId="8911" priority="139">
      <formula>$E41=""</formula>
    </cfRule>
  </conditionalFormatting>
  <conditionalFormatting sqref="K41:K47">
    <cfRule type="expression" dxfId="8910" priority="138">
      <formula>$E41=""</formula>
    </cfRule>
  </conditionalFormatting>
  <conditionalFormatting sqref="K41:K47">
    <cfRule type="expression" dxfId="8909" priority="137">
      <formula>$E41=""</formula>
    </cfRule>
  </conditionalFormatting>
  <conditionalFormatting sqref="K46">
    <cfRule type="expression" dxfId="8908" priority="136">
      <formula>$C46&lt;$E$3</formula>
    </cfRule>
  </conditionalFormatting>
  <conditionalFormatting sqref="K46">
    <cfRule type="expression" dxfId="8907" priority="132">
      <formula>$C46=$E$3</formula>
    </cfRule>
    <cfRule type="expression" dxfId="8906" priority="133">
      <formula>$C46&lt;$E$3</formula>
    </cfRule>
    <cfRule type="cellIs" dxfId="8905" priority="134" operator="equal">
      <formula>0</formula>
    </cfRule>
    <cfRule type="expression" dxfId="8904" priority="135">
      <formula>$C46&gt;$E$3</formula>
    </cfRule>
  </conditionalFormatting>
  <conditionalFormatting sqref="K46">
    <cfRule type="expression" dxfId="8903" priority="131">
      <formula>$C46&lt;$E$3</formula>
    </cfRule>
  </conditionalFormatting>
  <conditionalFormatting sqref="K46">
    <cfRule type="expression" dxfId="8902" priority="127">
      <formula>$C46=$E$3</formula>
    </cfRule>
    <cfRule type="expression" dxfId="8901" priority="128">
      <formula>$C46&lt;$E$3</formula>
    </cfRule>
    <cfRule type="cellIs" dxfId="8900" priority="129" operator="equal">
      <formula>0</formula>
    </cfRule>
    <cfRule type="expression" dxfId="8899" priority="130">
      <formula>$C46&gt;$E$3</formula>
    </cfRule>
  </conditionalFormatting>
  <conditionalFormatting sqref="K46">
    <cfRule type="expression" dxfId="8898" priority="126">
      <formula>$C46&lt;$E$3</formula>
    </cfRule>
  </conditionalFormatting>
  <conditionalFormatting sqref="K46">
    <cfRule type="expression" dxfId="8897" priority="122">
      <formula>$C46=$E$3</formula>
    </cfRule>
    <cfRule type="expression" dxfId="8896" priority="123">
      <formula>$C46&lt;$E$3</formula>
    </cfRule>
    <cfRule type="cellIs" dxfId="8895" priority="124" operator="equal">
      <formula>0</formula>
    </cfRule>
    <cfRule type="expression" dxfId="8894" priority="125">
      <formula>$C46&gt;$E$3</formula>
    </cfRule>
  </conditionalFormatting>
  <conditionalFormatting sqref="K46">
    <cfRule type="expression" dxfId="8893" priority="121">
      <formula>$C46&lt;$E$3</formula>
    </cfRule>
  </conditionalFormatting>
  <conditionalFormatting sqref="K46">
    <cfRule type="expression" dxfId="8892" priority="117">
      <formula>$C46=$E$3</formula>
    </cfRule>
    <cfRule type="expression" dxfId="8891" priority="118">
      <formula>$C46&lt;$E$3</formula>
    </cfRule>
    <cfRule type="cellIs" dxfId="8890" priority="119" operator="equal">
      <formula>0</formula>
    </cfRule>
    <cfRule type="expression" dxfId="8889" priority="120">
      <formula>$C46&gt;$E$3</formula>
    </cfRule>
  </conditionalFormatting>
  <conditionalFormatting sqref="K46">
    <cfRule type="expression" dxfId="8888" priority="116">
      <formula>$E46=""</formula>
    </cfRule>
  </conditionalFormatting>
  <conditionalFormatting sqref="K46">
    <cfRule type="expression" dxfId="8887" priority="115">
      <formula>$C46&lt;$E$3</formula>
    </cfRule>
  </conditionalFormatting>
  <conditionalFormatting sqref="K46">
    <cfRule type="expression" dxfId="8886" priority="114">
      <formula>$E46=""</formula>
    </cfRule>
  </conditionalFormatting>
  <conditionalFormatting sqref="K46">
    <cfRule type="expression" dxfId="8885" priority="113">
      <formula>$E46=""</formula>
    </cfRule>
  </conditionalFormatting>
  <conditionalFormatting sqref="K46">
    <cfRule type="expression" dxfId="8884" priority="112">
      <formula>$C46&lt;$E$3</formula>
    </cfRule>
  </conditionalFormatting>
  <conditionalFormatting sqref="K46">
    <cfRule type="expression" dxfId="8883" priority="111">
      <formula>$E46=""</formula>
    </cfRule>
  </conditionalFormatting>
  <conditionalFormatting sqref="K46">
    <cfRule type="expression" dxfId="8882" priority="110">
      <formula>$C46&lt;$E$3</formula>
    </cfRule>
  </conditionalFormatting>
  <conditionalFormatting sqref="K46">
    <cfRule type="expression" dxfId="8881" priority="109">
      <formula>$E46=""</formula>
    </cfRule>
  </conditionalFormatting>
  <conditionalFormatting sqref="K46">
    <cfRule type="expression" dxfId="8880" priority="107">
      <formula>$E46=""</formula>
    </cfRule>
  </conditionalFormatting>
  <conditionalFormatting sqref="K46">
    <cfRule type="expression" dxfId="8879" priority="102">
      <formula>$C46=$E$3</formula>
    </cfRule>
    <cfRule type="expression" dxfId="8878" priority="103">
      <formula>$C46&lt;$E$3</formula>
    </cfRule>
    <cfRule type="cellIs" dxfId="8877" priority="104" operator="equal">
      <formula>0</formula>
    </cfRule>
    <cfRule type="expression" dxfId="8876" priority="105">
      <formula>$C46&gt;$E$3</formula>
    </cfRule>
  </conditionalFormatting>
  <conditionalFormatting sqref="K46">
    <cfRule type="expression" dxfId="8875" priority="101">
      <formula>$C46&lt;$E$3</formula>
    </cfRule>
  </conditionalFormatting>
  <conditionalFormatting sqref="K46">
    <cfRule type="expression" dxfId="8874" priority="97">
      <formula>$C46=$E$3</formula>
    </cfRule>
    <cfRule type="expression" dxfId="8873" priority="98">
      <formula>$C46&lt;$E$3</formula>
    </cfRule>
    <cfRule type="cellIs" dxfId="8872" priority="99" operator="equal">
      <formula>0</formula>
    </cfRule>
    <cfRule type="expression" dxfId="8871" priority="100">
      <formula>$C46&gt;$E$3</formula>
    </cfRule>
  </conditionalFormatting>
  <conditionalFormatting sqref="K46">
    <cfRule type="expression" dxfId="8870" priority="96">
      <formula>$C46&lt;$E$3</formula>
    </cfRule>
  </conditionalFormatting>
  <conditionalFormatting sqref="K46">
    <cfRule type="expression" dxfId="8869" priority="92">
      <formula>$C46=$E$3</formula>
    </cfRule>
    <cfRule type="expression" dxfId="8868" priority="93">
      <formula>$C46&lt;$E$3</formula>
    </cfRule>
    <cfRule type="cellIs" dxfId="8867" priority="94" operator="equal">
      <formula>0</formula>
    </cfRule>
    <cfRule type="expression" dxfId="8866" priority="95">
      <formula>$C46&gt;$E$3</formula>
    </cfRule>
  </conditionalFormatting>
  <conditionalFormatting sqref="K46">
    <cfRule type="expression" dxfId="8865" priority="91">
      <formula>$C46&lt;$E$3</formula>
    </cfRule>
  </conditionalFormatting>
  <conditionalFormatting sqref="K46">
    <cfRule type="expression" dxfId="8864" priority="87">
      <formula>$C46=$E$3</formula>
    </cfRule>
    <cfRule type="expression" dxfId="8863" priority="88">
      <formula>$C46&lt;$E$3</formula>
    </cfRule>
    <cfRule type="cellIs" dxfId="8862" priority="89" operator="equal">
      <formula>0</formula>
    </cfRule>
    <cfRule type="expression" dxfId="8861" priority="90">
      <formula>$C46&gt;$E$3</formula>
    </cfRule>
  </conditionalFormatting>
  <conditionalFormatting sqref="K46">
    <cfRule type="expression" dxfId="8860" priority="86">
      <formula>$E46=""</formula>
    </cfRule>
  </conditionalFormatting>
  <conditionalFormatting sqref="K46">
    <cfRule type="expression" dxfId="8859" priority="85">
      <formula>$C46&lt;$E$3</formula>
    </cfRule>
  </conditionalFormatting>
  <conditionalFormatting sqref="K46">
    <cfRule type="expression" dxfId="8858" priority="84">
      <formula>$E46=""</formula>
    </cfRule>
  </conditionalFormatting>
  <conditionalFormatting sqref="K46">
    <cfRule type="expression" dxfId="8857" priority="83">
      <formula>$E46=""</formula>
    </cfRule>
  </conditionalFormatting>
  <conditionalFormatting sqref="K46">
    <cfRule type="expression" dxfId="8856" priority="82">
      <formula>$C46&lt;$E$3</formula>
    </cfRule>
  </conditionalFormatting>
  <conditionalFormatting sqref="K46">
    <cfRule type="expression" dxfId="8855" priority="81">
      <formula>$E46=""</formula>
    </cfRule>
  </conditionalFormatting>
  <conditionalFormatting sqref="K46">
    <cfRule type="expression" dxfId="8854" priority="80">
      <formula>$C46&lt;$E$3</formula>
    </cfRule>
  </conditionalFormatting>
  <conditionalFormatting sqref="K46">
    <cfRule type="expression" dxfId="8853" priority="79">
      <formula>$E46=""</formula>
    </cfRule>
  </conditionalFormatting>
  <conditionalFormatting sqref="K46">
    <cfRule type="expression" dxfId="8852" priority="77">
      <formula>$E46=""</formula>
    </cfRule>
  </conditionalFormatting>
  <conditionalFormatting sqref="K41:K45">
    <cfRule type="expression" dxfId="8851" priority="72">
      <formula>$C41=$E$3</formula>
    </cfRule>
    <cfRule type="expression" dxfId="8850" priority="73">
      <formula>$C41&lt;$E$3</formula>
    </cfRule>
    <cfRule type="cellIs" dxfId="8849" priority="74" operator="equal">
      <formula>0</formula>
    </cfRule>
    <cfRule type="expression" dxfId="8848" priority="75">
      <formula>$C41&gt;$E$3</formula>
    </cfRule>
  </conditionalFormatting>
  <conditionalFormatting sqref="K41:K45">
    <cfRule type="expression" dxfId="8847" priority="71">
      <formula>$C41&lt;$E$3</formula>
    </cfRule>
  </conditionalFormatting>
  <conditionalFormatting sqref="K41:K45">
    <cfRule type="expression" dxfId="8846" priority="67">
      <formula>$C41=$E$3</formula>
    </cfRule>
    <cfRule type="expression" dxfId="8845" priority="68">
      <formula>$C41&lt;$E$3</formula>
    </cfRule>
    <cfRule type="cellIs" dxfId="8844" priority="69" operator="equal">
      <formula>0</formula>
    </cfRule>
    <cfRule type="expression" dxfId="8843" priority="70">
      <formula>$C41&gt;$E$3</formula>
    </cfRule>
  </conditionalFormatting>
  <conditionalFormatting sqref="K41:K45">
    <cfRule type="expression" dxfId="8842" priority="66">
      <formula>$C41&lt;$E$3</formula>
    </cfRule>
  </conditionalFormatting>
  <conditionalFormatting sqref="K41:K45">
    <cfRule type="expression" dxfId="8841" priority="62">
      <formula>$C41=$E$3</formula>
    </cfRule>
    <cfRule type="expression" dxfId="8840" priority="63">
      <formula>$C41&lt;$E$3</formula>
    </cfRule>
    <cfRule type="cellIs" dxfId="8839" priority="64" operator="equal">
      <formula>0</formula>
    </cfRule>
    <cfRule type="expression" dxfId="8838" priority="65">
      <formula>$C41&gt;$E$3</formula>
    </cfRule>
  </conditionalFormatting>
  <conditionalFormatting sqref="K41:K45">
    <cfRule type="expression" dxfId="8837" priority="61">
      <formula>$C41&lt;$E$3</formula>
    </cfRule>
  </conditionalFormatting>
  <conditionalFormatting sqref="K41:K45">
    <cfRule type="expression" dxfId="8836" priority="57">
      <formula>$C41=$E$3</formula>
    </cfRule>
    <cfRule type="expression" dxfId="8835" priority="58">
      <formula>$C41&lt;$E$3</formula>
    </cfRule>
    <cfRule type="cellIs" dxfId="8834" priority="59" operator="equal">
      <formula>0</formula>
    </cfRule>
    <cfRule type="expression" dxfId="8833" priority="60">
      <formula>$C41&gt;$E$3</formula>
    </cfRule>
  </conditionalFormatting>
  <conditionalFormatting sqref="K41:K45">
    <cfRule type="expression" dxfId="8832" priority="56">
      <formula>$E41=""</formula>
    </cfRule>
  </conditionalFormatting>
  <conditionalFormatting sqref="K41:K45">
    <cfRule type="expression" dxfId="8831" priority="55">
      <formula>$C41&lt;$E$3</formula>
    </cfRule>
  </conditionalFormatting>
  <conditionalFormatting sqref="K41:K45">
    <cfRule type="expression" dxfId="8830" priority="54">
      <formula>$E41=""</formula>
    </cfRule>
  </conditionalFormatting>
  <conditionalFormatting sqref="K41:K45">
    <cfRule type="expression" dxfId="8829" priority="53">
      <formula>$E41=""</formula>
    </cfRule>
  </conditionalFormatting>
  <conditionalFormatting sqref="K41:K45">
    <cfRule type="expression" dxfId="8828" priority="52">
      <formula>$C41&lt;$E$3</formula>
    </cfRule>
  </conditionalFormatting>
  <conditionalFormatting sqref="K41:K45">
    <cfRule type="expression" dxfId="8827" priority="51">
      <formula>$E41=""</formula>
    </cfRule>
  </conditionalFormatting>
  <conditionalFormatting sqref="K41:K45">
    <cfRule type="expression" dxfId="8826" priority="50">
      <formula>$C41&lt;$E$3</formula>
    </cfRule>
  </conditionalFormatting>
  <conditionalFormatting sqref="K41:K45">
    <cfRule type="expression" dxfId="8825" priority="49">
      <formula>$E41=""</formula>
    </cfRule>
  </conditionalFormatting>
  <conditionalFormatting sqref="K41:K45">
    <cfRule type="expression" dxfId="8824" priority="47">
      <formula>$E41=""</formula>
    </cfRule>
  </conditionalFormatting>
  <conditionalFormatting sqref="K41:K45">
    <cfRule type="expression" dxfId="8823" priority="42">
      <formula>$C41=$E$3</formula>
    </cfRule>
    <cfRule type="expression" dxfId="8822" priority="43">
      <formula>$C41&lt;$E$3</formula>
    </cfRule>
    <cfRule type="cellIs" dxfId="8821" priority="44" operator="equal">
      <formula>0</formula>
    </cfRule>
    <cfRule type="expression" dxfId="8820" priority="45">
      <formula>$C41&gt;$E$3</formula>
    </cfRule>
  </conditionalFormatting>
  <conditionalFormatting sqref="K41:K45">
    <cfRule type="expression" dxfId="8819" priority="41">
      <formula>$C41&lt;$E$3</formula>
    </cfRule>
  </conditionalFormatting>
  <conditionalFormatting sqref="K41:K45">
    <cfRule type="expression" dxfId="8818" priority="37">
      <formula>$C41=$E$3</formula>
    </cfRule>
    <cfRule type="expression" dxfId="8817" priority="38">
      <formula>$C41&lt;$E$3</formula>
    </cfRule>
    <cfRule type="cellIs" dxfId="8816" priority="39" operator="equal">
      <formula>0</formula>
    </cfRule>
    <cfRule type="expression" dxfId="8815" priority="40">
      <formula>$C41&gt;$E$3</formula>
    </cfRule>
  </conditionalFormatting>
  <conditionalFormatting sqref="K41:K45">
    <cfRule type="expression" dxfId="8814" priority="36">
      <formula>$C41&lt;$E$3</formula>
    </cfRule>
  </conditionalFormatting>
  <conditionalFormatting sqref="K41:K45">
    <cfRule type="expression" dxfId="8813" priority="32">
      <formula>$C41=$E$3</formula>
    </cfRule>
    <cfRule type="expression" dxfId="8812" priority="33">
      <formula>$C41&lt;$E$3</formula>
    </cfRule>
    <cfRule type="cellIs" dxfId="8811" priority="34" operator="equal">
      <formula>0</formula>
    </cfRule>
    <cfRule type="expression" dxfId="8810" priority="35">
      <formula>$C41&gt;$E$3</formula>
    </cfRule>
  </conditionalFormatting>
  <conditionalFormatting sqref="K41:K45">
    <cfRule type="expression" dxfId="8809" priority="31">
      <formula>$C41&lt;$E$3</formula>
    </cfRule>
  </conditionalFormatting>
  <conditionalFormatting sqref="K41:K45">
    <cfRule type="expression" dxfId="8808" priority="27">
      <formula>$C41=$E$3</formula>
    </cfRule>
    <cfRule type="expression" dxfId="8807" priority="28">
      <formula>$C41&lt;$E$3</formula>
    </cfRule>
    <cfRule type="cellIs" dxfId="8806" priority="29" operator="equal">
      <formula>0</formula>
    </cfRule>
    <cfRule type="expression" dxfId="8805" priority="30">
      <formula>$C41&gt;$E$3</formula>
    </cfRule>
  </conditionalFormatting>
  <conditionalFormatting sqref="K41:K45">
    <cfRule type="expression" dxfId="8804" priority="26">
      <formula>$E41=""</formula>
    </cfRule>
  </conditionalFormatting>
  <conditionalFormatting sqref="K41:K45">
    <cfRule type="expression" dxfId="8803" priority="25">
      <formula>$C41&lt;$E$3</formula>
    </cfRule>
  </conditionalFormatting>
  <conditionalFormatting sqref="K41:K45">
    <cfRule type="expression" dxfId="8802" priority="24">
      <formula>$E41=""</formula>
    </cfRule>
  </conditionalFormatting>
  <conditionalFormatting sqref="K41:K45">
    <cfRule type="expression" dxfId="8801" priority="23">
      <formula>$E41=""</formula>
    </cfRule>
  </conditionalFormatting>
  <conditionalFormatting sqref="K41:K45">
    <cfRule type="expression" dxfId="8800" priority="22">
      <formula>$C41&lt;$E$3</formula>
    </cfRule>
  </conditionalFormatting>
  <conditionalFormatting sqref="K41:K45">
    <cfRule type="expression" dxfId="8799" priority="21">
      <formula>$E41=""</formula>
    </cfRule>
  </conditionalFormatting>
  <conditionalFormatting sqref="K41:K45">
    <cfRule type="expression" dxfId="8798" priority="20">
      <formula>$C41&lt;$E$3</formula>
    </cfRule>
  </conditionalFormatting>
  <conditionalFormatting sqref="K41:K45">
    <cfRule type="expression" dxfId="8797" priority="19">
      <formula>$E41=""</formula>
    </cfRule>
  </conditionalFormatting>
  <conditionalFormatting sqref="K41:K45">
    <cfRule type="expression" dxfId="8796" priority="17">
      <formula>$E41=""</formula>
    </cfRule>
  </conditionalFormatting>
  <conditionalFormatting sqref="K41:K47">
    <cfRule type="expression" dxfId="8795" priority="15">
      <formula>$C41&lt;$E$3</formula>
    </cfRule>
  </conditionalFormatting>
  <conditionalFormatting sqref="K41:K47">
    <cfRule type="expression" dxfId="8794" priority="12">
      <formula>$C41=$E$3</formula>
    </cfRule>
    <cfRule type="expression" dxfId="8793" priority="13">
      <formula>$C41&lt;$E$3</formula>
    </cfRule>
    <cfRule type="cellIs" dxfId="8792" priority="14" operator="equal">
      <formula>0</formula>
    </cfRule>
    <cfRule type="expression" dxfId="8791" priority="16">
      <formula>$C41&gt;$E$3</formula>
    </cfRule>
  </conditionalFormatting>
  <conditionalFormatting sqref="K41:K47">
    <cfRule type="expression" dxfId="8790" priority="11">
      <formula>$E41=""</formula>
    </cfRule>
  </conditionalFormatting>
  <conditionalFormatting sqref="K41:K47">
    <cfRule type="expression" dxfId="8789" priority="10">
      <formula>$E41=""</formula>
    </cfRule>
  </conditionalFormatting>
  <conditionalFormatting sqref="K41:K47">
    <cfRule type="expression" dxfId="8788" priority="9">
      <formula>$E41=""</formula>
    </cfRule>
  </conditionalFormatting>
  <conditionalFormatting sqref="N20 N18 N16">
    <cfRule type="cellIs" dxfId="8787" priority="8" stopIfTrue="1" operator="lessThan">
      <formula>0</formula>
    </cfRule>
  </conditionalFormatting>
  <conditionalFormatting sqref="N23 N27:N28">
    <cfRule type="cellIs" dxfId="8786" priority="7" stopIfTrue="1" operator="lessThan">
      <formula>0</formula>
    </cfRule>
  </conditionalFormatting>
  <conditionalFormatting sqref="N32:N34 N36 N38">
    <cfRule type="cellIs" dxfId="8785" priority="6" stopIfTrue="1" operator="lessThan">
      <formula>0</formula>
    </cfRule>
  </conditionalFormatting>
  <conditionalFormatting sqref="N41:N47">
    <cfRule type="cellIs" dxfId="8784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AH70"/>
  <sheetViews>
    <sheetView workbookViewId="0">
      <selection activeCell="H5" sqref="H5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7.6640625" customWidth="1"/>
    <col min="11" max="11" width="8.1640625" hidden="1" customWidth="1"/>
    <col min="12" max="12" width="8.16406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1" width="10.33203125" bestFit="1" customWidth="1"/>
    <col min="33" max="33" width="10.6640625" bestFit="1" customWidth="1"/>
  </cols>
  <sheetData>
    <row r="1" spans="1:34" ht="53.25" customHeight="1" thickBot="1">
      <c r="A1" s="42">
        <v>7</v>
      </c>
      <c r="B1" s="40" t="s">
        <v>0</v>
      </c>
      <c r="C1" s="41"/>
      <c r="D1" s="41"/>
      <c r="E1" s="193" t="str">
        <f>VLOOKUP(A1,'MY STATS'!$B$32:$E$43,4)</f>
        <v>Jul.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168" t="s">
        <v>25</v>
      </c>
      <c r="P1" s="170" t="s">
        <v>26</v>
      </c>
      <c r="Q1" s="170" t="s">
        <v>26</v>
      </c>
      <c r="R1" s="181" t="s">
        <v>32</v>
      </c>
      <c r="S1" s="194" t="s">
        <v>115</v>
      </c>
      <c r="T1" s="181"/>
      <c r="U1" s="181"/>
      <c r="V1" s="181" t="s">
        <v>84</v>
      </c>
      <c r="W1" s="181" t="s">
        <v>85</v>
      </c>
      <c r="X1" s="170" t="s">
        <v>24</v>
      </c>
      <c r="Y1" s="170" t="s">
        <v>21</v>
      </c>
      <c r="Z1" s="170" t="s">
        <v>22</v>
      </c>
      <c r="AA1" s="182" t="s">
        <v>23</v>
      </c>
      <c r="AB1" s="79"/>
      <c r="AC1" s="76"/>
      <c r="AD1" s="76"/>
      <c r="AE1" s="76"/>
      <c r="AF1" s="76"/>
      <c r="AG1" s="76"/>
    </row>
    <row r="2" spans="1:34" ht="36" hidden="1" thickTop="1" thickBot="1">
      <c r="A2" s="54" t="s">
        <v>64</v>
      </c>
      <c r="B2" s="21">
        <f>VLOOKUP(A1,'MY STATS'!$B$32:$G$43,3)</f>
        <v>45474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183"/>
      <c r="P2" s="79"/>
      <c r="Q2" s="79"/>
      <c r="R2" s="184">
        <f>'MY STATS'!A16</f>
        <v>3</v>
      </c>
      <c r="S2" s="184"/>
      <c r="T2" s="184"/>
      <c r="U2" s="184"/>
      <c r="V2" s="184"/>
      <c r="W2" s="184"/>
      <c r="X2" s="79"/>
      <c r="Y2" s="79"/>
      <c r="Z2" s="95"/>
      <c r="AA2" s="95"/>
      <c r="AB2" s="79"/>
      <c r="AC2" s="76"/>
      <c r="AD2" s="76"/>
      <c r="AE2" s="76"/>
      <c r="AF2" s="76"/>
      <c r="AG2" s="76"/>
    </row>
    <row r="3" spans="1:34" ht="18" hidden="1" thickTop="1" thickBot="1">
      <c r="A3" s="75">
        <f>'MY STATS'!D44</f>
        <v>45658</v>
      </c>
      <c r="B3" s="21">
        <f>VLOOKUP(A1+1,'MY STATS'!$B$32:$G$44,3)-1</f>
        <v>45504</v>
      </c>
      <c r="C3" s="21">
        <f>VLOOKUP(A1,'MY STATS'!$B$32:$G$43,2)</f>
        <v>45474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183"/>
      <c r="P3" s="79"/>
      <c r="Q3" s="79"/>
      <c r="R3" s="184"/>
      <c r="S3" s="184"/>
      <c r="T3" s="184"/>
      <c r="U3" s="184"/>
      <c r="V3" s="184"/>
      <c r="W3" s="184"/>
      <c r="X3" s="79"/>
      <c r="Y3" s="79"/>
      <c r="Z3" s="95"/>
      <c r="AA3" s="95"/>
      <c r="AB3" s="79"/>
      <c r="AC3" s="76"/>
      <c r="AD3" s="76"/>
      <c r="AE3" s="76"/>
      <c r="AF3" s="76"/>
      <c r="AG3" s="76"/>
    </row>
    <row r="4" spans="1:34" ht="1" customHeight="1" thickTop="1" thickBot="1">
      <c r="A4"/>
      <c r="C4" s="28">
        <f>C3-1</f>
        <v>45473</v>
      </c>
      <c r="D4"/>
      <c r="O4" s="185"/>
      <c r="P4" s="172">
        <f t="shared" ref="P4:P11" si="0">H$56</f>
        <v>69142.086068221659</v>
      </c>
      <c r="Q4" s="128">
        <f>IF(R$2=3,P4,IF(R$2=2,P4*1.0936,IF(R$2=1,P4*0.000568181818*1.0936133,"")))</f>
        <v>69142.086068221659</v>
      </c>
      <c r="R4" s="169"/>
      <c r="S4" s="169"/>
      <c r="T4" s="169"/>
      <c r="U4" s="169"/>
      <c r="V4" s="169"/>
      <c r="W4" s="169"/>
      <c r="X4" s="172"/>
      <c r="Y4" s="172"/>
      <c r="Z4" s="171">
        <v>0</v>
      </c>
      <c r="AA4" s="95"/>
      <c r="AB4" s="79">
        <v>0</v>
      </c>
      <c r="AC4" s="76"/>
      <c r="AD4" s="76"/>
      <c r="AE4" s="76"/>
      <c r="AF4" s="76"/>
      <c r="AG4" s="76"/>
    </row>
    <row r="5" spans="1:34">
      <c r="A5" s="22"/>
      <c r="B5" s="19">
        <f>IF(B$2&gt;C5,0,C5)</f>
        <v>45474</v>
      </c>
      <c r="C5" s="28">
        <f>C3</f>
        <v>45474</v>
      </c>
      <c r="D5" s="20">
        <f t="shared" ref="D5:D51" ca="1" si="1">TODAY()-C5</f>
        <v>-183</v>
      </c>
      <c r="E5" s="91" t="str">
        <f>IF(B5=0,"","Monday")</f>
        <v>Monday</v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71">
        <f t="shared" ref="O5:O51" si="3">IF(B5=0,"",(F$3-G$3)/(A$3-B$2)+0.1)</f>
        <v>2230.4408668888082</v>
      </c>
      <c r="P5" s="172">
        <f t="shared" si="0"/>
        <v>69142.086068221659</v>
      </c>
      <c r="Q5" s="128">
        <f t="shared" ref="Q5:Q51" si="4">IF(R$2=3,P5,IF(R$2=2,P5*1.0936,IF(R$2=1,P5*0.000568181818*1.0936133,"")))</f>
        <v>69142.086068221659</v>
      </c>
      <c r="R5" s="128">
        <f>IF(R$2=3,H5+G5/1.0936133+F5/0.0006213712,IF(R$2=2,H5*1.0936133+G5+F5/0.0005681818,IF(R$2=1,H5*0.0005681818*1.0936133+G5*0.0005681818+F5,"")))</f>
        <v>0</v>
      </c>
      <c r="S5" s="195" t="str">
        <f>IF(R5=0,"",R5*IF(L5&gt;0,1,0))</f>
        <v/>
      </c>
      <c r="T5" s="128"/>
      <c r="U5" s="128"/>
      <c r="V5" s="129" t="str">
        <f t="shared" ref="V5:V11" si="5">IF(L5="","",IF(R5=0,"",IF(B5=0,"",IF($R$2=3,R5/L5*60/1000,IF($R$2=2,R5/L5*60/1760,IF($R$2=1,R5/L5*60,""))))))</f>
        <v/>
      </c>
      <c r="W5" s="129" t="str">
        <f t="shared" ref="W5:W11" si="6">IF(R5=0,"",IF(L5="","",V5*L5))</f>
        <v/>
      </c>
      <c r="X5" s="171">
        <f t="shared" ref="X5:Z11" si="7">F5+X4</f>
        <v>0</v>
      </c>
      <c r="Y5" s="171">
        <f t="shared" si="7"/>
        <v>0</v>
      </c>
      <c r="Z5" s="171">
        <f t="shared" si="7"/>
        <v>0</v>
      </c>
      <c r="AA5" s="186">
        <f t="shared" ref="AA5:AA51" si="8">Z5/1000+Y5/1093.6133+X5/0.621371192</f>
        <v>0</v>
      </c>
      <c r="AB5" s="187">
        <f>R5</f>
        <v>0</v>
      </c>
      <c r="AC5" s="77"/>
      <c r="AD5" s="77"/>
      <c r="AE5" s="77"/>
      <c r="AF5" s="77"/>
      <c r="AG5" s="76"/>
    </row>
    <row r="6" spans="1:34">
      <c r="A6" s="23"/>
      <c r="B6" s="4">
        <f t="shared" ref="B6:B11" si="9">IF(B$2&gt;C6,0,C6)</f>
        <v>45475</v>
      </c>
      <c r="C6" s="29">
        <f>C3+1</f>
        <v>45475</v>
      </c>
      <c r="D6" s="6">
        <f t="shared" ca="1" si="1"/>
        <v>-184</v>
      </c>
      <c r="E6" s="90" t="str">
        <f>IF(B6=0,"","Tuesday")</f>
        <v>Tuesday</v>
      </c>
      <c r="F6" s="45"/>
      <c r="G6" s="46"/>
      <c r="H6" s="46"/>
      <c r="I6" s="151"/>
      <c r="J6" s="46"/>
      <c r="K6" s="152" t="str">
        <f t="shared" ref="K6:K11" si="10">IF(R6=0,"",IF(L6="","",J6))</f>
        <v/>
      </c>
      <c r="L6" s="46"/>
      <c r="M6" s="46" t="str">
        <f t="shared" si="2"/>
        <v/>
      </c>
      <c r="N6" s="301"/>
      <c r="O6" s="171">
        <f t="shared" si="3"/>
        <v>2230.4408668888082</v>
      </c>
      <c r="P6" s="172">
        <f t="shared" si="0"/>
        <v>69142.086068221659</v>
      </c>
      <c r="Q6" s="128">
        <f t="shared" si="4"/>
        <v>69142.086068221659</v>
      </c>
      <c r="R6" s="128">
        <f t="shared" ref="R6:R11" si="11">IF(R$2=3,H6+G6/1.0936133+F6/0.0006213712,IF(R$2=2,H6*1.0936133+G6+F6/0.0005681818,IF(R$2=1,H6*0.0005681818*1.0936133+G6*0.0005681818+F6,"")))</f>
        <v>0</v>
      </c>
      <c r="S6" s="195" t="str">
        <f t="shared" ref="S6:S51" si="12">IF(R6=0,"",R6*IF(L6&gt;0,1,0))</f>
        <v/>
      </c>
      <c r="T6" s="128"/>
      <c r="U6" s="128"/>
      <c r="V6" s="129" t="str">
        <f t="shared" si="5"/>
        <v/>
      </c>
      <c r="W6" s="129" t="str">
        <f t="shared" si="6"/>
        <v/>
      </c>
      <c r="X6" s="171">
        <f t="shared" si="7"/>
        <v>0</v>
      </c>
      <c r="Y6" s="171">
        <f t="shared" si="7"/>
        <v>0</v>
      </c>
      <c r="Z6" s="171">
        <f t="shared" si="7"/>
        <v>0</v>
      </c>
      <c r="AA6" s="186">
        <f t="shared" si="8"/>
        <v>0</v>
      </c>
      <c r="AB6" s="173">
        <f t="shared" ref="AB6:AB51" si="13">AB5+R6</f>
        <v>0</v>
      </c>
      <c r="AC6" s="76"/>
      <c r="AD6" s="76"/>
      <c r="AE6" s="76"/>
      <c r="AF6" s="76"/>
      <c r="AG6" s="76"/>
      <c r="AH6" s="9"/>
    </row>
    <row r="7" spans="1:34">
      <c r="A7" s="23"/>
      <c r="B7" s="4">
        <f t="shared" si="9"/>
        <v>45476</v>
      </c>
      <c r="C7" s="29">
        <f>C3+2</f>
        <v>45476</v>
      </c>
      <c r="D7" s="6">
        <f t="shared" ca="1" si="1"/>
        <v>-185</v>
      </c>
      <c r="E7" s="90" t="str">
        <f>IF(B7=0,"","Wednesday")</f>
        <v>Wednesday</v>
      </c>
      <c r="F7" s="45"/>
      <c r="G7" s="46"/>
      <c r="H7" s="46"/>
      <c r="I7" s="151"/>
      <c r="J7" s="46"/>
      <c r="K7" s="152" t="str">
        <f t="shared" si="10"/>
        <v/>
      </c>
      <c r="L7" s="46"/>
      <c r="M7" s="46" t="str">
        <f t="shared" si="2"/>
        <v/>
      </c>
      <c r="N7" s="310"/>
      <c r="O7" s="171">
        <f t="shared" si="3"/>
        <v>2230.4408668888082</v>
      </c>
      <c r="P7" s="172">
        <f t="shared" si="0"/>
        <v>69142.086068221659</v>
      </c>
      <c r="Q7" s="128">
        <f t="shared" si="4"/>
        <v>69142.086068221659</v>
      </c>
      <c r="R7" s="128">
        <f t="shared" si="11"/>
        <v>0</v>
      </c>
      <c r="S7" s="195" t="str">
        <f t="shared" si="12"/>
        <v/>
      </c>
      <c r="T7" s="128"/>
      <c r="U7" s="128"/>
      <c r="V7" s="129" t="str">
        <f t="shared" si="5"/>
        <v/>
      </c>
      <c r="W7" s="129" t="str">
        <f t="shared" si="6"/>
        <v/>
      </c>
      <c r="X7" s="171">
        <f t="shared" si="7"/>
        <v>0</v>
      </c>
      <c r="Y7" s="171">
        <f t="shared" si="7"/>
        <v>0</v>
      </c>
      <c r="Z7" s="171">
        <f t="shared" si="7"/>
        <v>0</v>
      </c>
      <c r="AA7" s="186">
        <f t="shared" si="8"/>
        <v>0</v>
      </c>
      <c r="AB7" s="173">
        <f t="shared" si="13"/>
        <v>0</v>
      </c>
      <c r="AC7" s="76"/>
      <c r="AD7" s="76"/>
      <c r="AE7" s="76"/>
      <c r="AF7" s="76"/>
      <c r="AG7" s="76"/>
    </row>
    <row r="8" spans="1:34">
      <c r="A8" s="23"/>
      <c r="B8" s="4">
        <f t="shared" si="9"/>
        <v>45477</v>
      </c>
      <c r="C8" s="29">
        <f>C3+3</f>
        <v>45477</v>
      </c>
      <c r="D8" s="6">
        <f t="shared" ca="1" si="1"/>
        <v>-186</v>
      </c>
      <c r="E8" s="90" t="str">
        <f>IF(B8=0,"","Thursday")</f>
        <v>Thursday</v>
      </c>
      <c r="F8" s="45"/>
      <c r="G8" s="46"/>
      <c r="H8" s="46"/>
      <c r="I8" s="151"/>
      <c r="J8" s="46"/>
      <c r="K8" s="152" t="str">
        <f t="shared" si="10"/>
        <v/>
      </c>
      <c r="L8" s="46"/>
      <c r="M8" s="46" t="str">
        <f t="shared" si="2"/>
        <v/>
      </c>
      <c r="N8" s="310"/>
      <c r="O8" s="171">
        <f t="shared" si="3"/>
        <v>2230.4408668888082</v>
      </c>
      <c r="P8" s="172">
        <f t="shared" si="0"/>
        <v>69142.086068221659</v>
      </c>
      <c r="Q8" s="128">
        <f t="shared" si="4"/>
        <v>69142.086068221659</v>
      </c>
      <c r="R8" s="128">
        <f t="shared" si="11"/>
        <v>0</v>
      </c>
      <c r="S8" s="195" t="str">
        <f t="shared" si="12"/>
        <v/>
      </c>
      <c r="T8" s="128"/>
      <c r="U8" s="128"/>
      <c r="V8" s="129" t="str">
        <f t="shared" si="5"/>
        <v/>
      </c>
      <c r="W8" s="129" t="str">
        <f t="shared" si="6"/>
        <v/>
      </c>
      <c r="X8" s="171">
        <f t="shared" si="7"/>
        <v>0</v>
      </c>
      <c r="Y8" s="171">
        <f t="shared" si="7"/>
        <v>0</v>
      </c>
      <c r="Z8" s="171">
        <f t="shared" si="7"/>
        <v>0</v>
      </c>
      <c r="AA8" s="186">
        <f t="shared" si="8"/>
        <v>0</v>
      </c>
      <c r="AB8" s="173">
        <f t="shared" si="13"/>
        <v>0</v>
      </c>
      <c r="AC8" s="76"/>
      <c r="AD8" s="76"/>
      <c r="AE8" s="76"/>
      <c r="AF8" s="76"/>
      <c r="AG8" s="76"/>
    </row>
    <row r="9" spans="1:34">
      <c r="A9" s="23"/>
      <c r="B9" s="4">
        <f t="shared" si="9"/>
        <v>45478</v>
      </c>
      <c r="C9" s="29">
        <f>C3+4</f>
        <v>45478</v>
      </c>
      <c r="D9" s="6">
        <f t="shared" ca="1" si="1"/>
        <v>-187</v>
      </c>
      <c r="E9" s="90" t="str">
        <f>IF(B9=0,"","Friday")</f>
        <v>Friday</v>
      </c>
      <c r="F9" s="45"/>
      <c r="G9" s="46"/>
      <c r="H9" s="46"/>
      <c r="I9" s="151"/>
      <c r="J9" s="46"/>
      <c r="K9" s="152" t="str">
        <f t="shared" si="10"/>
        <v/>
      </c>
      <c r="L9" s="46"/>
      <c r="M9" s="46" t="str">
        <f t="shared" si="2"/>
        <v/>
      </c>
      <c r="N9" s="301"/>
      <c r="O9" s="171">
        <f t="shared" si="3"/>
        <v>2230.4408668888082</v>
      </c>
      <c r="P9" s="172">
        <f t="shared" si="0"/>
        <v>69142.086068221659</v>
      </c>
      <c r="Q9" s="128">
        <f t="shared" si="4"/>
        <v>69142.086068221659</v>
      </c>
      <c r="R9" s="128">
        <f t="shared" si="11"/>
        <v>0</v>
      </c>
      <c r="S9" s="195" t="str">
        <f t="shared" si="12"/>
        <v/>
      </c>
      <c r="T9" s="128"/>
      <c r="U9" s="128"/>
      <c r="V9" s="129" t="str">
        <f t="shared" si="5"/>
        <v/>
      </c>
      <c r="W9" s="129" t="str">
        <f t="shared" si="6"/>
        <v/>
      </c>
      <c r="X9" s="171">
        <f t="shared" si="7"/>
        <v>0</v>
      </c>
      <c r="Y9" s="171">
        <f t="shared" si="7"/>
        <v>0</v>
      </c>
      <c r="Z9" s="171">
        <f t="shared" si="7"/>
        <v>0</v>
      </c>
      <c r="AA9" s="186">
        <f t="shared" si="8"/>
        <v>0</v>
      </c>
      <c r="AB9" s="173">
        <f t="shared" si="13"/>
        <v>0</v>
      </c>
      <c r="AC9" s="76"/>
      <c r="AD9" s="76"/>
      <c r="AE9" s="76"/>
      <c r="AF9" s="76"/>
      <c r="AG9" s="76"/>
    </row>
    <row r="10" spans="1:34">
      <c r="A10" s="23"/>
      <c r="B10" s="4">
        <f t="shared" si="9"/>
        <v>45479</v>
      </c>
      <c r="C10" s="29">
        <f>C3+5</f>
        <v>45479</v>
      </c>
      <c r="D10" s="6">
        <f t="shared" ca="1" si="1"/>
        <v>-188</v>
      </c>
      <c r="E10" s="90" t="str">
        <f>IF(B10=0,"","Saturday")</f>
        <v>Saturday</v>
      </c>
      <c r="F10" s="45"/>
      <c r="G10" s="46"/>
      <c r="H10" s="46"/>
      <c r="I10" s="151"/>
      <c r="J10" s="46"/>
      <c r="K10" s="152" t="str">
        <f t="shared" si="10"/>
        <v/>
      </c>
      <c r="L10" s="46"/>
      <c r="M10" s="46" t="str">
        <f t="shared" si="2"/>
        <v/>
      </c>
      <c r="N10" s="310"/>
      <c r="O10" s="171">
        <f t="shared" si="3"/>
        <v>2230.4408668888082</v>
      </c>
      <c r="P10" s="172">
        <f t="shared" si="0"/>
        <v>69142.086068221659</v>
      </c>
      <c r="Q10" s="128">
        <f t="shared" si="4"/>
        <v>69142.086068221659</v>
      </c>
      <c r="R10" s="128">
        <f t="shared" si="11"/>
        <v>0</v>
      </c>
      <c r="S10" s="195" t="str">
        <f t="shared" si="12"/>
        <v/>
      </c>
      <c r="T10" s="128"/>
      <c r="U10" s="128"/>
      <c r="V10" s="129" t="str">
        <f t="shared" si="5"/>
        <v/>
      </c>
      <c r="W10" s="129" t="str">
        <f t="shared" si="6"/>
        <v/>
      </c>
      <c r="X10" s="171">
        <f t="shared" si="7"/>
        <v>0</v>
      </c>
      <c r="Y10" s="171">
        <f t="shared" si="7"/>
        <v>0</v>
      </c>
      <c r="Z10" s="171">
        <f t="shared" si="7"/>
        <v>0</v>
      </c>
      <c r="AA10" s="186">
        <f t="shared" si="8"/>
        <v>0</v>
      </c>
      <c r="AB10" s="173">
        <f t="shared" si="13"/>
        <v>0</v>
      </c>
      <c r="AC10" s="76"/>
      <c r="AD10" s="76"/>
      <c r="AE10" s="76"/>
      <c r="AF10" s="76"/>
      <c r="AG10" s="76"/>
    </row>
    <row r="11" spans="1:34" ht="17" thickBot="1">
      <c r="A11" s="23"/>
      <c r="B11" s="43">
        <f t="shared" si="9"/>
        <v>45480</v>
      </c>
      <c r="C11" s="32">
        <f>C3+6</f>
        <v>45480</v>
      </c>
      <c r="D11" s="44">
        <f t="shared" ca="1" si="1"/>
        <v>-189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0"/>
        <v/>
      </c>
      <c r="L11" s="46"/>
      <c r="M11" s="46" t="str">
        <f t="shared" si="2"/>
        <v/>
      </c>
      <c r="N11" s="310"/>
      <c r="O11" s="171">
        <f t="shared" si="3"/>
        <v>2230.4408668888082</v>
      </c>
      <c r="P11" s="172">
        <f t="shared" si="0"/>
        <v>69142.086068221659</v>
      </c>
      <c r="Q11" s="128">
        <f t="shared" si="4"/>
        <v>69142.086068221659</v>
      </c>
      <c r="R11" s="128">
        <f t="shared" si="11"/>
        <v>0</v>
      </c>
      <c r="S11" s="195" t="str">
        <f t="shared" si="12"/>
        <v/>
      </c>
      <c r="T11" s="128"/>
      <c r="U11" s="128"/>
      <c r="V11" s="129" t="str">
        <f t="shared" si="5"/>
        <v/>
      </c>
      <c r="W11" s="129" t="str">
        <f t="shared" si="6"/>
        <v/>
      </c>
      <c r="X11" s="171">
        <f t="shared" si="7"/>
        <v>0</v>
      </c>
      <c r="Y11" s="171">
        <f t="shared" si="7"/>
        <v>0</v>
      </c>
      <c r="Z11" s="171">
        <f t="shared" si="7"/>
        <v>0</v>
      </c>
      <c r="AA11" s="186">
        <f t="shared" si="8"/>
        <v>0</v>
      </c>
      <c r="AB11" s="173">
        <f t="shared" si="13"/>
        <v>0</v>
      </c>
      <c r="AC11" s="76"/>
      <c r="AD11" s="76"/>
      <c r="AE11" s="76"/>
      <c r="AF11" s="76"/>
      <c r="AG11" s="76"/>
    </row>
    <row r="12" spans="1:34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71" t="str">
        <f t="shared" si="3"/>
        <v/>
      </c>
      <c r="P12" s="172"/>
      <c r="Q12" s="128">
        <f t="shared" si="4"/>
        <v>0</v>
      </c>
      <c r="R12" s="188"/>
      <c r="S12" s="195" t="str">
        <f t="shared" si="12"/>
        <v/>
      </c>
      <c r="T12" s="188"/>
      <c r="U12" s="188"/>
      <c r="V12" s="188"/>
      <c r="W12" s="188"/>
      <c r="X12" s="172"/>
      <c r="Y12" s="172"/>
      <c r="Z12" s="95"/>
      <c r="AA12" s="186">
        <f t="shared" si="8"/>
        <v>0</v>
      </c>
      <c r="AB12" s="173">
        <f t="shared" si="13"/>
        <v>0</v>
      </c>
      <c r="AC12" s="76"/>
      <c r="AD12" s="76"/>
      <c r="AE12" s="76"/>
      <c r="AF12" s="76"/>
      <c r="AG12" s="76"/>
    </row>
    <row r="13" spans="1:34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9.7015038668699223</v>
      </c>
      <c r="G13" s="53">
        <f>H13*1.0936113</f>
        <v>17074.647352079777</v>
      </c>
      <c r="H13" s="103">
        <f>SUM($O5:$O11)</f>
        <v>15613.086068221657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71" t="str">
        <f t="shared" si="3"/>
        <v/>
      </c>
      <c r="P13" s="172"/>
      <c r="Q13" s="128">
        <f t="shared" si="4"/>
        <v>0</v>
      </c>
      <c r="R13" s="189"/>
      <c r="S13" s="195" t="str">
        <f t="shared" si="12"/>
        <v/>
      </c>
      <c r="T13" s="189"/>
      <c r="U13" s="189"/>
      <c r="V13" s="189"/>
      <c r="W13" s="189"/>
      <c r="X13" s="172"/>
      <c r="Y13" s="172"/>
      <c r="Z13" s="95"/>
      <c r="AA13" s="186">
        <f t="shared" si="8"/>
        <v>0</v>
      </c>
      <c r="AB13" s="173">
        <f t="shared" si="13"/>
        <v>0</v>
      </c>
      <c r="AC13" s="76"/>
      <c r="AD13" s="76"/>
      <c r="AE13" s="76"/>
      <c r="AF13" s="76"/>
      <c r="AG13" s="76"/>
    </row>
    <row r="14" spans="1:34" ht="17" thickTop="1">
      <c r="A14" s="1"/>
      <c r="B14" s="47">
        <f t="shared" ref="B14:B20" si="14">IF(B$2&gt;C14,0,C14)</f>
        <v>45481</v>
      </c>
      <c r="C14" s="31">
        <f>C11+1</f>
        <v>45481</v>
      </c>
      <c r="D14" s="18">
        <f t="shared" ca="1" si="1"/>
        <v>-190</v>
      </c>
      <c r="E14" s="94" t="s">
        <v>1</v>
      </c>
      <c r="F14" s="45"/>
      <c r="G14" s="46"/>
      <c r="H14" s="46"/>
      <c r="I14" s="151"/>
      <c r="J14" s="46"/>
      <c r="K14" s="152" t="str">
        <f t="shared" ref="K14" si="15">IF(R14=0,"",IF(L14="","",J14))</f>
        <v/>
      </c>
      <c r="L14" s="46"/>
      <c r="M14" s="46" t="str">
        <f t="shared" ref="M14:M20" si="16">IF(R14=0,"",IF(J14="","",L14))</f>
        <v/>
      </c>
      <c r="N14" s="310"/>
      <c r="O14" s="171">
        <f t="shared" si="3"/>
        <v>2230.4408668888082</v>
      </c>
      <c r="P14" s="172">
        <f t="shared" ref="P14:P20" si="17">H$56</f>
        <v>69142.086068221659</v>
      </c>
      <c r="Q14" s="128">
        <f t="shared" si="4"/>
        <v>69142.086068221659</v>
      </c>
      <c r="R14" s="128">
        <f>IF(R$2=3,H14+G14/1.0936133+F14/0.0006213712,IF(R$2=2,H14*1.0936133+G14+F14/0.0005681818,IF(R$2=1,H14*0.0005681818*1.0936133+G14*0.0005681818+F14,"")))</f>
        <v>0</v>
      </c>
      <c r="S14" s="195" t="str">
        <f t="shared" si="12"/>
        <v/>
      </c>
      <c r="T14" s="128"/>
      <c r="U14" s="128"/>
      <c r="V14" s="129" t="str">
        <f t="shared" ref="V14:V20" si="18">IF(L14="","",IF(R14=0,"",IF(B14=0,"",IF($R$2=3,R14/L14*60/1000,IF($R$2=2,R14/L14*60/1760,IF($R$2=1,R14/L14*60,""))))))</f>
        <v/>
      </c>
      <c r="W14" s="129" t="str">
        <f t="shared" ref="W14:W20" si="19">IF(R14=0,"",IF(L14="","",V14*L14))</f>
        <v/>
      </c>
      <c r="X14" s="171">
        <f>F14+X11</f>
        <v>0</v>
      </c>
      <c r="Y14" s="171">
        <f>G14+Y11</f>
        <v>0</v>
      </c>
      <c r="Z14" s="171">
        <f>H14+Z11</f>
        <v>0</v>
      </c>
      <c r="AA14" s="186">
        <f t="shared" si="8"/>
        <v>0</v>
      </c>
      <c r="AB14" s="173">
        <f t="shared" si="13"/>
        <v>0</v>
      </c>
      <c r="AC14" s="76"/>
      <c r="AD14" s="76"/>
      <c r="AE14" s="76"/>
      <c r="AF14" s="76"/>
      <c r="AG14" s="76"/>
    </row>
    <row r="15" spans="1:34">
      <c r="A15" s="1"/>
      <c r="B15" s="4">
        <f t="shared" si="14"/>
        <v>45482</v>
      </c>
      <c r="C15" s="29">
        <f t="shared" ref="C15:C20" si="20">C14+1</f>
        <v>45482</v>
      </c>
      <c r="D15" s="6">
        <f t="shared" ca="1" si="1"/>
        <v>-191</v>
      </c>
      <c r="E15" s="90" t="s">
        <v>2</v>
      </c>
      <c r="F15" s="45"/>
      <c r="G15" s="46"/>
      <c r="H15" s="46"/>
      <c r="I15" s="151"/>
      <c r="J15" s="46"/>
      <c r="K15" s="152" t="str">
        <f t="shared" ref="K15:K20" si="21">IF(R15=0,"",IF(L15="","",J15))</f>
        <v/>
      </c>
      <c r="L15" s="46"/>
      <c r="M15" s="46" t="str">
        <f t="shared" si="16"/>
        <v/>
      </c>
      <c r="N15" s="310"/>
      <c r="O15" s="171">
        <f t="shared" si="3"/>
        <v>2230.4408668888082</v>
      </c>
      <c r="P15" s="172">
        <f t="shared" si="17"/>
        <v>69142.086068221659</v>
      </c>
      <c r="Q15" s="128">
        <f t="shared" si="4"/>
        <v>69142.086068221659</v>
      </c>
      <c r="R15" s="128">
        <f t="shared" ref="R15:R20" si="22">IF(R$2=3,H15+G15/1.0936133+F15/0.0006213712,IF(R$2=2,H15*1.0936133+G15+F15/0.0005681818,IF(R$2=1,H15*0.0005681818*1.0936133+G15*0.0005681818+F15,"")))</f>
        <v>0</v>
      </c>
      <c r="S15" s="195" t="str">
        <f t="shared" si="12"/>
        <v/>
      </c>
      <c r="T15" s="128"/>
      <c r="U15" s="128"/>
      <c r="V15" s="129" t="str">
        <f t="shared" si="18"/>
        <v/>
      </c>
      <c r="W15" s="129" t="str">
        <f t="shared" si="19"/>
        <v/>
      </c>
      <c r="X15" s="171">
        <f t="shared" ref="X15:Z20" si="23">F15+X14</f>
        <v>0</v>
      </c>
      <c r="Y15" s="171">
        <f t="shared" si="23"/>
        <v>0</v>
      </c>
      <c r="Z15" s="171">
        <f t="shared" si="23"/>
        <v>0</v>
      </c>
      <c r="AA15" s="186">
        <f t="shared" si="8"/>
        <v>0</v>
      </c>
      <c r="AB15" s="173">
        <f t="shared" si="13"/>
        <v>0</v>
      </c>
      <c r="AC15" s="76"/>
      <c r="AD15" s="76"/>
      <c r="AE15" s="76"/>
      <c r="AF15" s="76"/>
      <c r="AG15" s="76"/>
    </row>
    <row r="16" spans="1:34">
      <c r="A16" s="1"/>
      <c r="B16" s="4">
        <f t="shared" si="14"/>
        <v>45483</v>
      </c>
      <c r="C16" s="29">
        <f t="shared" si="20"/>
        <v>45483</v>
      </c>
      <c r="D16" s="6">
        <f t="shared" ca="1" si="1"/>
        <v>-192</v>
      </c>
      <c r="E16" s="90" t="s">
        <v>3</v>
      </c>
      <c r="F16" s="45"/>
      <c r="G16" s="46"/>
      <c r="H16" s="46"/>
      <c r="I16" s="151"/>
      <c r="J16" s="46"/>
      <c r="K16" s="152" t="str">
        <f t="shared" si="21"/>
        <v/>
      </c>
      <c r="L16" s="46"/>
      <c r="M16" s="46" t="str">
        <f t="shared" si="16"/>
        <v/>
      </c>
      <c r="N16" s="301"/>
      <c r="O16" s="171">
        <f t="shared" si="3"/>
        <v>2230.4408668888082</v>
      </c>
      <c r="P16" s="172">
        <f t="shared" si="17"/>
        <v>69142.086068221659</v>
      </c>
      <c r="Q16" s="128">
        <f t="shared" si="4"/>
        <v>69142.086068221659</v>
      </c>
      <c r="R16" s="128">
        <f t="shared" si="22"/>
        <v>0</v>
      </c>
      <c r="S16" s="195" t="str">
        <f t="shared" si="12"/>
        <v/>
      </c>
      <c r="T16" s="128"/>
      <c r="U16" s="128"/>
      <c r="V16" s="129" t="str">
        <f t="shared" si="18"/>
        <v/>
      </c>
      <c r="W16" s="129" t="str">
        <f t="shared" si="19"/>
        <v/>
      </c>
      <c r="X16" s="171">
        <f t="shared" si="23"/>
        <v>0</v>
      </c>
      <c r="Y16" s="171">
        <f t="shared" si="23"/>
        <v>0</v>
      </c>
      <c r="Z16" s="171">
        <f t="shared" si="23"/>
        <v>0</v>
      </c>
      <c r="AA16" s="186">
        <f t="shared" si="8"/>
        <v>0</v>
      </c>
      <c r="AB16" s="173">
        <f t="shared" si="13"/>
        <v>0</v>
      </c>
      <c r="AC16" s="76"/>
      <c r="AD16" s="76"/>
      <c r="AE16" s="76"/>
      <c r="AF16" s="76"/>
      <c r="AG16" s="76"/>
    </row>
    <row r="17" spans="1:33">
      <c r="A17" s="1"/>
      <c r="B17" s="4">
        <f t="shared" si="14"/>
        <v>45484</v>
      </c>
      <c r="C17" s="29">
        <f t="shared" si="20"/>
        <v>45484</v>
      </c>
      <c r="D17" s="6">
        <f t="shared" ca="1" si="1"/>
        <v>-193</v>
      </c>
      <c r="E17" s="90" t="s">
        <v>4</v>
      </c>
      <c r="F17" s="45"/>
      <c r="G17" s="46"/>
      <c r="H17" s="46"/>
      <c r="I17" s="151"/>
      <c r="J17" s="46"/>
      <c r="K17" s="152" t="str">
        <f t="shared" si="21"/>
        <v/>
      </c>
      <c r="L17" s="46"/>
      <c r="M17" s="46" t="str">
        <f t="shared" si="16"/>
        <v/>
      </c>
      <c r="N17" s="310"/>
      <c r="O17" s="171">
        <f t="shared" si="3"/>
        <v>2230.4408668888082</v>
      </c>
      <c r="P17" s="172">
        <f t="shared" si="17"/>
        <v>69142.086068221659</v>
      </c>
      <c r="Q17" s="128">
        <f t="shared" si="4"/>
        <v>69142.086068221659</v>
      </c>
      <c r="R17" s="128">
        <f t="shared" si="22"/>
        <v>0</v>
      </c>
      <c r="S17" s="195" t="str">
        <f t="shared" si="12"/>
        <v/>
      </c>
      <c r="T17" s="128"/>
      <c r="U17" s="128"/>
      <c r="V17" s="129" t="str">
        <f t="shared" si="18"/>
        <v/>
      </c>
      <c r="W17" s="129" t="str">
        <f t="shared" si="19"/>
        <v/>
      </c>
      <c r="X17" s="171">
        <f t="shared" si="23"/>
        <v>0</v>
      </c>
      <c r="Y17" s="171">
        <f t="shared" si="23"/>
        <v>0</v>
      </c>
      <c r="Z17" s="171">
        <f t="shared" si="23"/>
        <v>0</v>
      </c>
      <c r="AA17" s="186">
        <f t="shared" si="8"/>
        <v>0</v>
      </c>
      <c r="AB17" s="173">
        <f t="shared" si="13"/>
        <v>0</v>
      </c>
      <c r="AC17" s="76"/>
      <c r="AD17" s="76"/>
      <c r="AE17" s="76"/>
      <c r="AF17" s="76"/>
      <c r="AG17" s="76"/>
    </row>
    <row r="18" spans="1:33">
      <c r="A18" s="1"/>
      <c r="B18" s="4">
        <f t="shared" si="14"/>
        <v>45485</v>
      </c>
      <c r="C18" s="29">
        <f t="shared" si="20"/>
        <v>45485</v>
      </c>
      <c r="D18" s="6">
        <f t="shared" ca="1" si="1"/>
        <v>-194</v>
      </c>
      <c r="E18" s="90" t="s">
        <v>5</v>
      </c>
      <c r="F18" s="45"/>
      <c r="G18" s="46"/>
      <c r="H18" s="46"/>
      <c r="I18" s="151"/>
      <c r="J18" s="46"/>
      <c r="K18" s="152" t="str">
        <f t="shared" si="21"/>
        <v/>
      </c>
      <c r="L18" s="46"/>
      <c r="M18" s="46" t="str">
        <f t="shared" si="16"/>
        <v/>
      </c>
      <c r="N18" s="301"/>
      <c r="O18" s="171">
        <f t="shared" si="3"/>
        <v>2230.4408668888082</v>
      </c>
      <c r="P18" s="172">
        <f t="shared" si="17"/>
        <v>69142.086068221659</v>
      </c>
      <c r="Q18" s="128">
        <f t="shared" si="4"/>
        <v>69142.086068221659</v>
      </c>
      <c r="R18" s="128">
        <f t="shared" si="22"/>
        <v>0</v>
      </c>
      <c r="S18" s="195" t="str">
        <f t="shared" si="12"/>
        <v/>
      </c>
      <c r="T18" s="128"/>
      <c r="U18" s="128"/>
      <c r="V18" s="129" t="str">
        <f t="shared" si="18"/>
        <v/>
      </c>
      <c r="W18" s="129" t="str">
        <f t="shared" si="19"/>
        <v/>
      </c>
      <c r="X18" s="171">
        <f t="shared" si="23"/>
        <v>0</v>
      </c>
      <c r="Y18" s="171">
        <f t="shared" si="23"/>
        <v>0</v>
      </c>
      <c r="Z18" s="171">
        <f t="shared" si="23"/>
        <v>0</v>
      </c>
      <c r="AA18" s="186">
        <f t="shared" si="8"/>
        <v>0</v>
      </c>
      <c r="AB18" s="173">
        <f t="shared" si="13"/>
        <v>0</v>
      </c>
      <c r="AC18" s="76"/>
      <c r="AD18" s="76"/>
      <c r="AE18" s="76"/>
      <c r="AF18" s="76"/>
      <c r="AG18" s="76"/>
    </row>
    <row r="19" spans="1:33">
      <c r="A19" s="1"/>
      <c r="B19" s="4">
        <f t="shared" si="14"/>
        <v>45486</v>
      </c>
      <c r="C19" s="29">
        <f t="shared" si="20"/>
        <v>45486</v>
      </c>
      <c r="D19" s="6">
        <f t="shared" ca="1" si="1"/>
        <v>-195</v>
      </c>
      <c r="E19" s="90" t="s">
        <v>6</v>
      </c>
      <c r="F19" s="45"/>
      <c r="G19" s="46"/>
      <c r="H19" s="46"/>
      <c r="I19" s="151"/>
      <c r="J19" s="46"/>
      <c r="K19" s="152" t="str">
        <f t="shared" si="21"/>
        <v/>
      </c>
      <c r="L19" s="46"/>
      <c r="M19" s="46" t="str">
        <f t="shared" si="16"/>
        <v/>
      </c>
      <c r="N19" s="310"/>
      <c r="O19" s="171">
        <f t="shared" si="3"/>
        <v>2230.4408668888082</v>
      </c>
      <c r="P19" s="172">
        <f t="shared" si="17"/>
        <v>69142.086068221659</v>
      </c>
      <c r="Q19" s="128">
        <f t="shared" si="4"/>
        <v>69142.086068221659</v>
      </c>
      <c r="R19" s="128">
        <f t="shared" si="22"/>
        <v>0</v>
      </c>
      <c r="S19" s="195" t="str">
        <f t="shared" si="12"/>
        <v/>
      </c>
      <c r="T19" s="128"/>
      <c r="U19" s="128"/>
      <c r="V19" s="129" t="str">
        <f t="shared" si="18"/>
        <v/>
      </c>
      <c r="W19" s="129" t="str">
        <f t="shared" si="19"/>
        <v/>
      </c>
      <c r="X19" s="171">
        <f t="shared" si="23"/>
        <v>0</v>
      </c>
      <c r="Y19" s="171">
        <f t="shared" si="23"/>
        <v>0</v>
      </c>
      <c r="Z19" s="171">
        <f t="shared" si="23"/>
        <v>0</v>
      </c>
      <c r="AA19" s="186">
        <f t="shared" si="8"/>
        <v>0</v>
      </c>
      <c r="AB19" s="173">
        <f t="shared" si="13"/>
        <v>0</v>
      </c>
      <c r="AC19" s="76"/>
      <c r="AD19" s="76"/>
      <c r="AE19" s="76"/>
      <c r="AF19" s="76"/>
      <c r="AG19" s="76"/>
    </row>
    <row r="20" spans="1:33" ht="17" thickBot="1">
      <c r="A20" s="1"/>
      <c r="B20" s="43">
        <f t="shared" si="14"/>
        <v>45487</v>
      </c>
      <c r="C20" s="32">
        <f t="shared" si="20"/>
        <v>45487</v>
      </c>
      <c r="D20" s="44">
        <f t="shared" ca="1" si="1"/>
        <v>-196</v>
      </c>
      <c r="E20" s="93" t="s">
        <v>7</v>
      </c>
      <c r="F20" s="45"/>
      <c r="G20" s="46"/>
      <c r="H20" s="46"/>
      <c r="I20" s="151"/>
      <c r="J20" s="46"/>
      <c r="K20" s="152" t="str">
        <f t="shared" si="21"/>
        <v/>
      </c>
      <c r="L20" s="46"/>
      <c r="M20" s="46" t="str">
        <f t="shared" si="16"/>
        <v/>
      </c>
      <c r="N20" s="303"/>
      <c r="O20" s="171">
        <f t="shared" si="3"/>
        <v>2230.4408668888082</v>
      </c>
      <c r="P20" s="172">
        <f t="shared" si="17"/>
        <v>69142.086068221659</v>
      </c>
      <c r="Q20" s="128">
        <f t="shared" si="4"/>
        <v>69142.086068221659</v>
      </c>
      <c r="R20" s="128">
        <f t="shared" si="22"/>
        <v>0</v>
      </c>
      <c r="S20" s="195" t="str">
        <f t="shared" si="12"/>
        <v/>
      </c>
      <c r="T20" s="128"/>
      <c r="U20" s="128"/>
      <c r="V20" s="129" t="str">
        <f t="shared" si="18"/>
        <v/>
      </c>
      <c r="W20" s="129" t="str">
        <f t="shared" si="19"/>
        <v/>
      </c>
      <c r="X20" s="171">
        <f t="shared" si="23"/>
        <v>0</v>
      </c>
      <c r="Y20" s="171">
        <f t="shared" si="23"/>
        <v>0</v>
      </c>
      <c r="Z20" s="171">
        <f t="shared" si="23"/>
        <v>0</v>
      </c>
      <c r="AA20" s="186">
        <f t="shared" si="8"/>
        <v>0</v>
      </c>
      <c r="AB20" s="173">
        <f t="shared" si="13"/>
        <v>0</v>
      </c>
      <c r="AC20" s="76"/>
      <c r="AD20" s="76"/>
      <c r="AE20" s="76"/>
      <c r="AF20" s="76"/>
      <c r="AG20" s="76"/>
    </row>
    <row r="21" spans="1:33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71" t="str">
        <f t="shared" si="3"/>
        <v/>
      </c>
      <c r="P21" s="172"/>
      <c r="Q21" s="128">
        <f t="shared" si="4"/>
        <v>0</v>
      </c>
      <c r="R21" s="188"/>
      <c r="S21" s="195" t="str">
        <f t="shared" si="12"/>
        <v/>
      </c>
      <c r="T21" s="188"/>
      <c r="U21" s="188"/>
      <c r="V21" s="188"/>
      <c r="W21" s="188"/>
      <c r="X21" s="95"/>
      <c r="Y21" s="95"/>
      <c r="Z21" s="95"/>
      <c r="AA21" s="186">
        <f t="shared" si="8"/>
        <v>0</v>
      </c>
      <c r="AB21" s="173">
        <f t="shared" si="13"/>
        <v>0</v>
      </c>
      <c r="AC21" s="76"/>
      <c r="AD21" s="76"/>
      <c r="AE21" s="76"/>
      <c r="AF21" s="76"/>
      <c r="AG21" s="76"/>
    </row>
    <row r="22" spans="1:33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9.7014503866558499</v>
      </c>
      <c r="G22" s="53">
        <f>H22*1.0936113</f>
        <v>17074.5532269</v>
      </c>
      <c r="H22" s="104">
        <f>INT(SUM($O14:$O20))</f>
        <v>15613</v>
      </c>
      <c r="I22" s="120"/>
      <c r="J22" s="499"/>
      <c r="K22" s="500"/>
      <c r="L22" s="500"/>
      <c r="M22" s="500"/>
      <c r="N22" s="500"/>
      <c r="O22" s="171" t="str">
        <f t="shared" si="3"/>
        <v/>
      </c>
      <c r="P22" s="172"/>
      <c r="Q22" s="128">
        <f t="shared" si="4"/>
        <v>0</v>
      </c>
      <c r="R22" s="189"/>
      <c r="S22" s="195" t="str">
        <f t="shared" si="12"/>
        <v/>
      </c>
      <c r="T22" s="189"/>
      <c r="U22" s="189"/>
      <c r="V22" s="189"/>
      <c r="W22" s="189"/>
      <c r="X22" s="95"/>
      <c r="Y22" s="95"/>
      <c r="Z22" s="95"/>
      <c r="AA22" s="186">
        <f t="shared" si="8"/>
        <v>0</v>
      </c>
      <c r="AB22" s="173">
        <f t="shared" si="13"/>
        <v>0</v>
      </c>
      <c r="AC22" s="76"/>
      <c r="AD22" s="76"/>
      <c r="AE22" s="76"/>
      <c r="AF22" s="76"/>
      <c r="AG22" s="76"/>
    </row>
    <row r="23" spans="1:33" ht="17" thickTop="1">
      <c r="A23" s="1"/>
      <c r="B23" s="47">
        <f t="shared" ref="B23:B29" si="24">IF(B$2&gt;C23,0,C23)</f>
        <v>45488</v>
      </c>
      <c r="C23" s="31">
        <f>C20+1</f>
        <v>45488</v>
      </c>
      <c r="D23" s="18">
        <f t="shared" ca="1" si="1"/>
        <v>-197</v>
      </c>
      <c r="E23" s="94" t="s">
        <v>1</v>
      </c>
      <c r="F23" s="45"/>
      <c r="G23" s="46"/>
      <c r="H23" s="46"/>
      <c r="I23" s="151"/>
      <c r="J23" s="46"/>
      <c r="K23" s="152" t="str">
        <f t="shared" ref="K23:K24" si="25">IF(R23=0,"",IF(L23="","",J23))</f>
        <v/>
      </c>
      <c r="L23" s="46"/>
      <c r="M23" s="46" t="str">
        <f t="shared" ref="M23:M29" si="26">IF(R23=0,"",IF(J23="","",L23))</f>
        <v/>
      </c>
      <c r="N23" s="301"/>
      <c r="O23" s="171">
        <f t="shared" si="3"/>
        <v>2230.4408668888082</v>
      </c>
      <c r="P23" s="172">
        <f t="shared" ref="P23:P29" si="27">H$56</f>
        <v>69142.086068221659</v>
      </c>
      <c r="Q23" s="128">
        <f t="shared" si="4"/>
        <v>69142.086068221659</v>
      </c>
      <c r="R23" s="128">
        <f>IF(R$2=3,H23+G23/1.0936133+F23/0.0006213712,IF(R$2=2,H23*1.0936133+G23+F23/0.0005681818,IF(R$2=1,H23*0.0005681818*1.0936133+G23*0.0005681818+F23,"")))</f>
        <v>0</v>
      </c>
      <c r="S23" s="195" t="str">
        <f t="shared" si="12"/>
        <v/>
      </c>
      <c r="T23" s="128"/>
      <c r="U23" s="128"/>
      <c r="V23" s="129" t="str">
        <f t="shared" ref="V23:V29" si="28">IF(L23="","",IF(R23=0,"",IF(B23=0,"",IF($R$2=3,R23/L23*60/1000,IF($R$2=2,R23/L23*60/1760,IF($R$2=1,R23/L23*60,""))))))</f>
        <v/>
      </c>
      <c r="W23" s="129" t="str">
        <f t="shared" ref="W23:W29" si="29">IF(R23=0,"",IF(L23="","",V23*L23))</f>
        <v/>
      </c>
      <c r="X23" s="171">
        <f>F23+X20</f>
        <v>0</v>
      </c>
      <c r="Y23" s="171">
        <f>G23+Y20</f>
        <v>0</v>
      </c>
      <c r="Z23" s="171">
        <f>H23+Z20</f>
        <v>0</v>
      </c>
      <c r="AA23" s="186">
        <f t="shared" si="8"/>
        <v>0</v>
      </c>
      <c r="AB23" s="173">
        <f t="shared" si="13"/>
        <v>0</v>
      </c>
      <c r="AC23" s="76"/>
      <c r="AD23" s="76"/>
      <c r="AE23" s="76"/>
      <c r="AF23" s="76"/>
      <c r="AG23" s="76"/>
    </row>
    <row r="24" spans="1:33">
      <c r="A24" s="1"/>
      <c r="B24" s="4">
        <f t="shared" si="24"/>
        <v>45489</v>
      </c>
      <c r="C24" s="29">
        <f t="shared" ref="C24:C29" si="30">C23+1</f>
        <v>45489</v>
      </c>
      <c r="D24" s="6">
        <f t="shared" ca="1" si="1"/>
        <v>-198</v>
      </c>
      <c r="E24" s="90" t="s">
        <v>2</v>
      </c>
      <c r="F24" s="45"/>
      <c r="G24" s="46"/>
      <c r="H24" s="46"/>
      <c r="I24" s="151"/>
      <c r="J24" s="46"/>
      <c r="K24" s="152" t="str">
        <f t="shared" si="25"/>
        <v/>
      </c>
      <c r="L24" s="46"/>
      <c r="M24" s="46" t="str">
        <f t="shared" si="26"/>
        <v/>
      </c>
      <c r="N24" s="301"/>
      <c r="O24" s="171">
        <f t="shared" si="3"/>
        <v>2230.4408668888082</v>
      </c>
      <c r="P24" s="172">
        <f t="shared" si="27"/>
        <v>69142.086068221659</v>
      </c>
      <c r="Q24" s="128">
        <f t="shared" si="4"/>
        <v>69142.086068221659</v>
      </c>
      <c r="R24" s="128">
        <f t="shared" ref="R24:R29" si="31">IF(R$2=3,H24+G24/1.0936133+F24/0.0006213712,IF(R$2=2,H24*1.0936133+G24+F24/0.0005681818,IF(R$2=1,H24*0.0005681818*1.0936133+G24*0.0005681818+F24,"")))</f>
        <v>0</v>
      </c>
      <c r="S24" s="195" t="str">
        <f t="shared" si="12"/>
        <v/>
      </c>
      <c r="T24" s="128"/>
      <c r="U24" s="128"/>
      <c r="V24" s="129" t="str">
        <f t="shared" si="28"/>
        <v/>
      </c>
      <c r="W24" s="129" t="str">
        <f t="shared" si="29"/>
        <v/>
      </c>
      <c r="X24" s="171">
        <f t="shared" ref="X24:Z29" si="32">F24+X23</f>
        <v>0</v>
      </c>
      <c r="Y24" s="171">
        <f t="shared" si="32"/>
        <v>0</v>
      </c>
      <c r="Z24" s="171">
        <f t="shared" si="32"/>
        <v>0</v>
      </c>
      <c r="AA24" s="186">
        <f t="shared" si="8"/>
        <v>0</v>
      </c>
      <c r="AB24" s="173">
        <f t="shared" si="13"/>
        <v>0</v>
      </c>
      <c r="AC24" s="76"/>
      <c r="AD24" s="76"/>
      <c r="AE24" s="76"/>
      <c r="AF24" s="76"/>
      <c r="AG24" s="76"/>
    </row>
    <row r="25" spans="1:33">
      <c r="A25" s="1"/>
      <c r="B25" s="4">
        <f t="shared" si="24"/>
        <v>45490</v>
      </c>
      <c r="C25" s="29">
        <f t="shared" si="30"/>
        <v>45490</v>
      </c>
      <c r="D25" s="6">
        <f t="shared" ca="1" si="1"/>
        <v>-199</v>
      </c>
      <c r="E25" s="90" t="s">
        <v>3</v>
      </c>
      <c r="F25" s="45"/>
      <c r="G25" s="46"/>
      <c r="H25" s="46"/>
      <c r="I25" s="151"/>
      <c r="J25" s="46"/>
      <c r="K25" s="152" t="str">
        <f t="shared" ref="K25:K29" si="33">IF(R25=0,"",IF(L25="","",J25))</f>
        <v/>
      </c>
      <c r="L25" s="46"/>
      <c r="M25" s="46" t="str">
        <f t="shared" si="26"/>
        <v/>
      </c>
      <c r="N25" s="301"/>
      <c r="O25" s="171">
        <f t="shared" si="3"/>
        <v>2230.4408668888082</v>
      </c>
      <c r="P25" s="172">
        <f t="shared" si="27"/>
        <v>69142.086068221659</v>
      </c>
      <c r="Q25" s="128">
        <f t="shared" si="4"/>
        <v>69142.086068221659</v>
      </c>
      <c r="R25" s="128">
        <f t="shared" si="31"/>
        <v>0</v>
      </c>
      <c r="S25" s="195" t="str">
        <f t="shared" si="12"/>
        <v/>
      </c>
      <c r="T25" s="128"/>
      <c r="U25" s="128"/>
      <c r="V25" s="129" t="str">
        <f t="shared" si="28"/>
        <v/>
      </c>
      <c r="W25" s="129" t="str">
        <f t="shared" si="29"/>
        <v/>
      </c>
      <c r="X25" s="171">
        <f t="shared" si="32"/>
        <v>0</v>
      </c>
      <c r="Y25" s="171">
        <f t="shared" si="32"/>
        <v>0</v>
      </c>
      <c r="Z25" s="171">
        <f t="shared" si="32"/>
        <v>0</v>
      </c>
      <c r="AA25" s="186">
        <f t="shared" si="8"/>
        <v>0</v>
      </c>
      <c r="AB25" s="173">
        <f t="shared" si="13"/>
        <v>0</v>
      </c>
      <c r="AC25" s="76"/>
      <c r="AD25" s="76"/>
      <c r="AE25" s="76"/>
      <c r="AF25" s="76"/>
      <c r="AG25" s="76"/>
    </row>
    <row r="26" spans="1:33">
      <c r="A26" s="1"/>
      <c r="B26" s="4">
        <f t="shared" si="24"/>
        <v>45491</v>
      </c>
      <c r="C26" s="29">
        <f t="shared" si="30"/>
        <v>45491</v>
      </c>
      <c r="D26" s="6">
        <f t="shared" ca="1" si="1"/>
        <v>-200</v>
      </c>
      <c r="E26" s="90" t="s">
        <v>4</v>
      </c>
      <c r="F26" s="45"/>
      <c r="G26" s="46"/>
      <c r="H26" s="46"/>
      <c r="I26" s="151"/>
      <c r="J26" s="46"/>
      <c r="K26" s="152" t="str">
        <f t="shared" si="33"/>
        <v/>
      </c>
      <c r="L26" s="46"/>
      <c r="M26" s="46" t="str">
        <f t="shared" si="26"/>
        <v/>
      </c>
      <c r="N26" s="301"/>
      <c r="O26" s="171">
        <f t="shared" si="3"/>
        <v>2230.4408668888082</v>
      </c>
      <c r="P26" s="172">
        <f t="shared" si="27"/>
        <v>69142.086068221659</v>
      </c>
      <c r="Q26" s="128">
        <f t="shared" si="4"/>
        <v>69142.086068221659</v>
      </c>
      <c r="R26" s="128">
        <f t="shared" si="31"/>
        <v>0</v>
      </c>
      <c r="S26" s="195" t="str">
        <f t="shared" si="12"/>
        <v/>
      </c>
      <c r="T26" s="128"/>
      <c r="U26" s="128"/>
      <c r="V26" s="129" t="str">
        <f t="shared" si="28"/>
        <v/>
      </c>
      <c r="W26" s="129" t="str">
        <f t="shared" si="29"/>
        <v/>
      </c>
      <c r="X26" s="171">
        <f t="shared" si="32"/>
        <v>0</v>
      </c>
      <c r="Y26" s="171">
        <f t="shared" si="32"/>
        <v>0</v>
      </c>
      <c r="Z26" s="171">
        <f t="shared" si="32"/>
        <v>0</v>
      </c>
      <c r="AA26" s="186">
        <f t="shared" si="8"/>
        <v>0</v>
      </c>
      <c r="AB26" s="173">
        <f t="shared" si="13"/>
        <v>0</v>
      </c>
      <c r="AC26" s="76"/>
      <c r="AD26" s="76"/>
      <c r="AE26" s="76"/>
      <c r="AF26" s="76"/>
      <c r="AG26" s="76"/>
    </row>
    <row r="27" spans="1:33">
      <c r="A27" s="1"/>
      <c r="B27" s="4">
        <f t="shared" si="24"/>
        <v>45492</v>
      </c>
      <c r="C27" s="29">
        <f t="shared" si="30"/>
        <v>45492</v>
      </c>
      <c r="D27" s="6">
        <f t="shared" ca="1" si="1"/>
        <v>-201</v>
      </c>
      <c r="E27" s="90" t="s">
        <v>5</v>
      </c>
      <c r="F27" s="45"/>
      <c r="G27" s="46"/>
      <c r="H27" s="46"/>
      <c r="I27" s="151"/>
      <c r="J27" s="46"/>
      <c r="K27" s="152" t="str">
        <f t="shared" si="33"/>
        <v/>
      </c>
      <c r="L27" s="46"/>
      <c r="M27" s="46" t="str">
        <f t="shared" si="26"/>
        <v/>
      </c>
      <c r="N27" s="301"/>
      <c r="O27" s="171">
        <f t="shared" si="3"/>
        <v>2230.4408668888082</v>
      </c>
      <c r="P27" s="172">
        <f t="shared" si="27"/>
        <v>69142.086068221659</v>
      </c>
      <c r="Q27" s="128">
        <f t="shared" si="4"/>
        <v>69142.086068221659</v>
      </c>
      <c r="R27" s="128">
        <f t="shared" si="31"/>
        <v>0</v>
      </c>
      <c r="S27" s="195" t="str">
        <f t="shared" si="12"/>
        <v/>
      </c>
      <c r="T27" s="128"/>
      <c r="U27" s="128"/>
      <c r="V27" s="129" t="str">
        <f t="shared" si="28"/>
        <v/>
      </c>
      <c r="W27" s="129" t="str">
        <f t="shared" si="29"/>
        <v/>
      </c>
      <c r="X27" s="171">
        <f t="shared" si="32"/>
        <v>0</v>
      </c>
      <c r="Y27" s="171">
        <f t="shared" si="32"/>
        <v>0</v>
      </c>
      <c r="Z27" s="171">
        <f t="shared" si="32"/>
        <v>0</v>
      </c>
      <c r="AA27" s="186">
        <f t="shared" si="8"/>
        <v>0</v>
      </c>
      <c r="AB27" s="173">
        <f t="shared" si="13"/>
        <v>0</v>
      </c>
      <c r="AC27" s="76"/>
      <c r="AD27" s="76"/>
      <c r="AE27" s="76"/>
      <c r="AF27" s="76"/>
      <c r="AG27" s="76"/>
    </row>
    <row r="28" spans="1:33">
      <c r="A28" s="1"/>
      <c r="B28" s="4">
        <f t="shared" si="24"/>
        <v>45493</v>
      </c>
      <c r="C28" s="29">
        <f t="shared" si="30"/>
        <v>45493</v>
      </c>
      <c r="D28" s="6">
        <f t="shared" ca="1" si="1"/>
        <v>-202</v>
      </c>
      <c r="E28" s="90" t="s">
        <v>6</v>
      </c>
      <c r="F28" s="45"/>
      <c r="G28" s="46"/>
      <c r="H28" s="46"/>
      <c r="I28" s="151"/>
      <c r="J28" s="46"/>
      <c r="K28" s="152" t="str">
        <f t="shared" si="33"/>
        <v/>
      </c>
      <c r="L28" s="46"/>
      <c r="M28" s="46" t="str">
        <f t="shared" si="26"/>
        <v/>
      </c>
      <c r="N28" s="301"/>
      <c r="O28" s="171">
        <f t="shared" si="3"/>
        <v>2230.4408668888082</v>
      </c>
      <c r="P28" s="172">
        <f t="shared" si="27"/>
        <v>69142.086068221659</v>
      </c>
      <c r="Q28" s="128">
        <f t="shared" si="4"/>
        <v>69142.086068221659</v>
      </c>
      <c r="R28" s="128">
        <f t="shared" si="31"/>
        <v>0</v>
      </c>
      <c r="S28" s="195" t="str">
        <f t="shared" si="12"/>
        <v/>
      </c>
      <c r="T28" s="128"/>
      <c r="U28" s="128"/>
      <c r="V28" s="129" t="str">
        <f t="shared" si="28"/>
        <v/>
      </c>
      <c r="W28" s="129" t="str">
        <f t="shared" si="29"/>
        <v/>
      </c>
      <c r="X28" s="171">
        <f t="shared" si="32"/>
        <v>0</v>
      </c>
      <c r="Y28" s="171">
        <f t="shared" si="32"/>
        <v>0</v>
      </c>
      <c r="Z28" s="171">
        <f t="shared" si="32"/>
        <v>0</v>
      </c>
      <c r="AA28" s="186">
        <f t="shared" si="8"/>
        <v>0</v>
      </c>
      <c r="AB28" s="173">
        <f t="shared" si="13"/>
        <v>0</v>
      </c>
      <c r="AC28" s="76"/>
      <c r="AD28" s="76"/>
      <c r="AE28" s="76"/>
      <c r="AF28" s="76"/>
      <c r="AG28" s="76"/>
    </row>
    <row r="29" spans="1:33" ht="17" thickBot="1">
      <c r="A29" s="1"/>
      <c r="B29" s="43">
        <f t="shared" si="24"/>
        <v>45494</v>
      </c>
      <c r="C29" s="32">
        <f t="shared" si="30"/>
        <v>45494</v>
      </c>
      <c r="D29" s="44">
        <f t="shared" ca="1" si="1"/>
        <v>-203</v>
      </c>
      <c r="E29" s="93" t="s">
        <v>7</v>
      </c>
      <c r="F29" s="45"/>
      <c r="G29" s="46"/>
      <c r="H29" s="46"/>
      <c r="I29" s="151"/>
      <c r="J29" s="46"/>
      <c r="K29" s="152" t="str">
        <f t="shared" si="33"/>
        <v/>
      </c>
      <c r="L29" s="46"/>
      <c r="M29" s="46" t="str">
        <f t="shared" si="26"/>
        <v/>
      </c>
      <c r="N29" s="301"/>
      <c r="O29" s="171">
        <f t="shared" si="3"/>
        <v>2230.4408668888082</v>
      </c>
      <c r="P29" s="172">
        <f t="shared" si="27"/>
        <v>69142.086068221659</v>
      </c>
      <c r="Q29" s="128">
        <f t="shared" si="4"/>
        <v>69142.086068221659</v>
      </c>
      <c r="R29" s="128">
        <f t="shared" si="31"/>
        <v>0</v>
      </c>
      <c r="S29" s="195" t="str">
        <f t="shared" si="12"/>
        <v/>
      </c>
      <c r="T29" s="128"/>
      <c r="U29" s="128"/>
      <c r="V29" s="129" t="str">
        <f t="shared" si="28"/>
        <v/>
      </c>
      <c r="W29" s="129" t="str">
        <f t="shared" si="29"/>
        <v/>
      </c>
      <c r="X29" s="171">
        <f t="shared" si="32"/>
        <v>0</v>
      </c>
      <c r="Y29" s="171">
        <f t="shared" si="32"/>
        <v>0</v>
      </c>
      <c r="Z29" s="171">
        <f t="shared" si="32"/>
        <v>0</v>
      </c>
      <c r="AA29" s="186">
        <f t="shared" si="8"/>
        <v>0</v>
      </c>
      <c r="AB29" s="173">
        <f t="shared" si="13"/>
        <v>0</v>
      </c>
      <c r="AC29" s="76"/>
      <c r="AD29" s="76"/>
      <c r="AE29" s="76"/>
      <c r="AF29" s="76"/>
      <c r="AG29" s="76"/>
    </row>
    <row r="30" spans="1:33" ht="17" customHeight="1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71" t="str">
        <f t="shared" si="3"/>
        <v/>
      </c>
      <c r="P30" s="172"/>
      <c r="Q30" s="128">
        <f t="shared" si="4"/>
        <v>0</v>
      </c>
      <c r="R30" s="188"/>
      <c r="S30" s="195" t="str">
        <f t="shared" si="12"/>
        <v/>
      </c>
      <c r="T30" s="188"/>
      <c r="U30" s="188"/>
      <c r="V30" s="188"/>
      <c r="W30" s="188"/>
      <c r="X30" s="95"/>
      <c r="Y30" s="95"/>
      <c r="Z30" s="95"/>
      <c r="AA30" s="186">
        <f t="shared" si="8"/>
        <v>0</v>
      </c>
      <c r="AB30" s="173">
        <f t="shared" si="13"/>
        <v>0</v>
      </c>
      <c r="AC30" s="76"/>
      <c r="AD30" s="76"/>
      <c r="AE30" s="76"/>
      <c r="AF30" s="76"/>
      <c r="AG30" s="76"/>
    </row>
    <row r="31" spans="1:33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9.7014503866558499</v>
      </c>
      <c r="G31" s="53">
        <f>H31*1.0936113</f>
        <v>17074.5532269</v>
      </c>
      <c r="H31" s="104">
        <f>INT(SUM($O23:$O29))</f>
        <v>15613</v>
      </c>
      <c r="I31" s="120"/>
      <c r="J31" s="503"/>
      <c r="K31" s="504"/>
      <c r="L31" s="504"/>
      <c r="M31" s="271"/>
      <c r="N31" s="506"/>
      <c r="O31" s="171" t="str">
        <f t="shared" si="3"/>
        <v/>
      </c>
      <c r="P31" s="172"/>
      <c r="Q31" s="128">
        <f t="shared" si="4"/>
        <v>0</v>
      </c>
      <c r="R31" s="189"/>
      <c r="S31" s="195" t="str">
        <f t="shared" si="12"/>
        <v/>
      </c>
      <c r="T31" s="189"/>
      <c r="U31" s="189"/>
      <c r="V31" s="189"/>
      <c r="W31" s="189"/>
      <c r="X31" s="95"/>
      <c r="Y31" s="95"/>
      <c r="Z31" s="95"/>
      <c r="AA31" s="186">
        <f t="shared" si="8"/>
        <v>0</v>
      </c>
      <c r="AB31" s="173">
        <f t="shared" si="13"/>
        <v>0</v>
      </c>
      <c r="AC31" s="76"/>
      <c r="AD31" s="76"/>
      <c r="AE31" s="76"/>
      <c r="AF31" s="76"/>
      <c r="AG31" s="76"/>
    </row>
    <row r="32" spans="1:33" ht="17" thickTop="1">
      <c r="A32" s="1"/>
      <c r="B32" s="47">
        <f t="shared" ref="B32:B38" si="34">IF(B$2&gt;C32,0,C32)</f>
        <v>45495</v>
      </c>
      <c r="C32" s="31">
        <f>C29+1</f>
        <v>45495</v>
      </c>
      <c r="D32" s="18">
        <f t="shared" ca="1" si="1"/>
        <v>-204</v>
      </c>
      <c r="E32" s="94" t="s">
        <v>1</v>
      </c>
      <c r="F32" s="45"/>
      <c r="G32" s="46"/>
      <c r="H32" s="46"/>
      <c r="I32" s="151"/>
      <c r="J32" s="46"/>
      <c r="K32" s="152" t="str">
        <f t="shared" ref="K32" si="35">IF(R32=0,"",IF(L32="","",J32))</f>
        <v/>
      </c>
      <c r="L32" s="46"/>
      <c r="M32" s="46" t="str">
        <f>IF(R32=0,"",IF(J32="","",L32))</f>
        <v/>
      </c>
      <c r="N32" s="301"/>
      <c r="O32" s="171">
        <f t="shared" si="3"/>
        <v>2230.4408668888082</v>
      </c>
      <c r="P32" s="172">
        <f t="shared" ref="P32:P38" si="36">H$56</f>
        <v>69142.086068221659</v>
      </c>
      <c r="Q32" s="128">
        <f t="shared" si="4"/>
        <v>69142.086068221659</v>
      </c>
      <c r="R32" s="128">
        <f>IF(R$2=3,H32+G32/1.0936133+F32/0.0006213712,IF(R$2=2,H32*1.0936133+G32+F32/0.0005681818,IF(R$2=1,H32*0.0005681818*1.0936133+G32*0.0005681818+F32,"")))</f>
        <v>0</v>
      </c>
      <c r="S32" s="195" t="str">
        <f t="shared" si="12"/>
        <v/>
      </c>
      <c r="T32" s="128"/>
      <c r="U32" s="128"/>
      <c r="V32" s="129" t="str">
        <f t="shared" ref="V32:V38" si="37">IF(L32="","",IF(R32=0,"",IF(B32=0,"",IF($R$2=3,R32/L32*60/1000,IF($R$2=2,R32/L32*60/1760,IF($R$2=1,R32/L32*60,""))))))</f>
        <v/>
      </c>
      <c r="W32" s="129" t="str">
        <f t="shared" ref="W32:W38" si="38">IF(R32=0,"",IF(L32="","",V32*L32))</f>
        <v/>
      </c>
      <c r="X32" s="171">
        <f>F32+X29</f>
        <v>0</v>
      </c>
      <c r="Y32" s="171">
        <f>G32+Y29</f>
        <v>0</v>
      </c>
      <c r="Z32" s="171">
        <f>H32+Z29</f>
        <v>0</v>
      </c>
      <c r="AA32" s="186">
        <f t="shared" si="8"/>
        <v>0</v>
      </c>
      <c r="AB32" s="173">
        <f t="shared" si="13"/>
        <v>0</v>
      </c>
      <c r="AC32" s="76"/>
      <c r="AD32" s="76"/>
      <c r="AE32" s="76"/>
      <c r="AF32" s="76"/>
      <c r="AG32" s="76"/>
    </row>
    <row r="33" spans="1:33">
      <c r="A33" s="1"/>
      <c r="B33" s="4">
        <f t="shared" si="34"/>
        <v>45496</v>
      </c>
      <c r="C33" s="29">
        <f t="shared" ref="C33:C38" si="39">C32+1</f>
        <v>45496</v>
      </c>
      <c r="D33" s="6">
        <f t="shared" ca="1" si="1"/>
        <v>-205</v>
      </c>
      <c r="E33" s="90" t="s">
        <v>2</v>
      </c>
      <c r="F33" s="45"/>
      <c r="G33" s="46"/>
      <c r="H33" s="46"/>
      <c r="I33" s="151"/>
      <c r="J33" s="46"/>
      <c r="K33" s="152" t="str">
        <f t="shared" ref="K33:K38" si="40">IF(R33=0,"",IF(L33="","",J33))</f>
        <v/>
      </c>
      <c r="L33" s="46"/>
      <c r="M33" s="46" t="str">
        <f t="shared" ref="M33:M38" si="41">IF(R33=0,"",IF(J33="","",L33))</f>
        <v/>
      </c>
      <c r="N33" s="301"/>
      <c r="O33" s="171">
        <f t="shared" si="3"/>
        <v>2230.4408668888082</v>
      </c>
      <c r="P33" s="172">
        <f t="shared" si="36"/>
        <v>69142.086068221659</v>
      </c>
      <c r="Q33" s="128">
        <f t="shared" si="4"/>
        <v>69142.086068221659</v>
      </c>
      <c r="R33" s="128">
        <f t="shared" ref="R33:R38" si="42">IF(R$2=3,H33+G33/1.0936133+F33/0.0006213712,IF(R$2=2,H33*1.0936133+G33+F33/0.0005681818,IF(R$2=1,H33*0.0005681818*1.0936133+G33*0.0005681818+F33,"")))</f>
        <v>0</v>
      </c>
      <c r="S33" s="195" t="str">
        <f t="shared" si="12"/>
        <v/>
      </c>
      <c r="T33" s="128"/>
      <c r="U33" s="128"/>
      <c r="V33" s="129" t="str">
        <f t="shared" si="37"/>
        <v/>
      </c>
      <c r="W33" s="129" t="str">
        <f t="shared" si="38"/>
        <v/>
      </c>
      <c r="X33" s="171">
        <f t="shared" ref="X33:Z38" si="43">F33+X32</f>
        <v>0</v>
      </c>
      <c r="Y33" s="171">
        <f t="shared" si="43"/>
        <v>0</v>
      </c>
      <c r="Z33" s="171">
        <f t="shared" si="43"/>
        <v>0</v>
      </c>
      <c r="AA33" s="186">
        <f t="shared" si="8"/>
        <v>0</v>
      </c>
      <c r="AB33" s="173">
        <f t="shared" si="13"/>
        <v>0</v>
      </c>
      <c r="AC33" s="76"/>
      <c r="AD33" s="76"/>
      <c r="AE33" s="76"/>
      <c r="AF33" s="76"/>
      <c r="AG33" s="76"/>
    </row>
    <row r="34" spans="1:33">
      <c r="A34" s="1"/>
      <c r="B34" s="4">
        <f t="shared" si="34"/>
        <v>45497</v>
      </c>
      <c r="C34" s="29">
        <f t="shared" si="39"/>
        <v>45497</v>
      </c>
      <c r="D34" s="6">
        <f t="shared" ca="1" si="1"/>
        <v>-206</v>
      </c>
      <c r="E34" s="90" t="s">
        <v>3</v>
      </c>
      <c r="F34" s="45"/>
      <c r="G34" s="46"/>
      <c r="H34" s="46"/>
      <c r="I34" s="151"/>
      <c r="J34" s="46"/>
      <c r="K34" s="152" t="str">
        <f t="shared" ref="K34" si="44">IF(R34=0,"",IF(L34="","",J34))</f>
        <v/>
      </c>
      <c r="L34" s="46"/>
      <c r="M34" s="46" t="str">
        <f t="shared" si="41"/>
        <v/>
      </c>
      <c r="N34" s="301"/>
      <c r="O34" s="171">
        <f t="shared" si="3"/>
        <v>2230.4408668888082</v>
      </c>
      <c r="P34" s="172">
        <f t="shared" si="36"/>
        <v>69142.086068221659</v>
      </c>
      <c r="Q34" s="128">
        <f t="shared" si="4"/>
        <v>69142.086068221659</v>
      </c>
      <c r="R34" s="128">
        <f t="shared" si="42"/>
        <v>0</v>
      </c>
      <c r="S34" s="195" t="str">
        <f t="shared" si="12"/>
        <v/>
      </c>
      <c r="T34" s="128"/>
      <c r="U34" s="128"/>
      <c r="V34" s="129" t="str">
        <f t="shared" si="37"/>
        <v/>
      </c>
      <c r="W34" s="129" t="str">
        <f t="shared" si="38"/>
        <v/>
      </c>
      <c r="X34" s="171">
        <f t="shared" si="43"/>
        <v>0</v>
      </c>
      <c r="Y34" s="171">
        <f t="shared" si="43"/>
        <v>0</v>
      </c>
      <c r="Z34" s="171">
        <f t="shared" si="43"/>
        <v>0</v>
      </c>
      <c r="AA34" s="186">
        <f t="shared" si="8"/>
        <v>0</v>
      </c>
      <c r="AB34" s="173">
        <f t="shared" si="13"/>
        <v>0</v>
      </c>
      <c r="AC34" s="76"/>
      <c r="AD34" s="76"/>
      <c r="AE34" s="76"/>
      <c r="AF34" s="76"/>
      <c r="AG34" s="76"/>
    </row>
    <row r="35" spans="1:33">
      <c r="A35" s="1"/>
      <c r="B35" s="4">
        <f t="shared" si="34"/>
        <v>45498</v>
      </c>
      <c r="C35" s="29">
        <f t="shared" si="39"/>
        <v>45498</v>
      </c>
      <c r="D35" s="6">
        <f t="shared" ca="1" si="1"/>
        <v>-207</v>
      </c>
      <c r="E35" s="90" t="s">
        <v>4</v>
      </c>
      <c r="F35" s="45"/>
      <c r="G35" s="46"/>
      <c r="H35" s="46"/>
      <c r="I35" s="151"/>
      <c r="J35" s="46"/>
      <c r="K35" s="152" t="str">
        <f t="shared" si="40"/>
        <v/>
      </c>
      <c r="L35" s="46"/>
      <c r="M35" s="46" t="str">
        <f t="shared" si="41"/>
        <v/>
      </c>
      <c r="N35" s="310"/>
      <c r="O35" s="171">
        <f t="shared" si="3"/>
        <v>2230.4408668888082</v>
      </c>
      <c r="P35" s="172">
        <f t="shared" si="36"/>
        <v>69142.086068221659</v>
      </c>
      <c r="Q35" s="128">
        <f t="shared" si="4"/>
        <v>69142.086068221659</v>
      </c>
      <c r="R35" s="128">
        <f t="shared" si="42"/>
        <v>0</v>
      </c>
      <c r="S35" s="195" t="str">
        <f t="shared" si="12"/>
        <v/>
      </c>
      <c r="T35" s="128"/>
      <c r="U35" s="128"/>
      <c r="V35" s="129" t="str">
        <f t="shared" si="37"/>
        <v/>
      </c>
      <c r="W35" s="129" t="str">
        <f t="shared" si="38"/>
        <v/>
      </c>
      <c r="X35" s="171">
        <f t="shared" si="43"/>
        <v>0</v>
      </c>
      <c r="Y35" s="171">
        <f t="shared" si="43"/>
        <v>0</v>
      </c>
      <c r="Z35" s="171">
        <f t="shared" si="43"/>
        <v>0</v>
      </c>
      <c r="AA35" s="186">
        <f t="shared" si="8"/>
        <v>0</v>
      </c>
      <c r="AB35" s="173">
        <f t="shared" si="13"/>
        <v>0</v>
      </c>
      <c r="AC35" s="76"/>
      <c r="AD35" s="76"/>
      <c r="AE35" s="76"/>
      <c r="AF35" s="76"/>
      <c r="AG35" s="76"/>
    </row>
    <row r="36" spans="1:33">
      <c r="A36" s="1"/>
      <c r="B36" s="4">
        <f t="shared" si="34"/>
        <v>45499</v>
      </c>
      <c r="C36" s="29">
        <f t="shared" si="39"/>
        <v>45499</v>
      </c>
      <c r="D36" s="6">
        <f t="shared" ca="1" si="1"/>
        <v>-208</v>
      </c>
      <c r="E36" s="90" t="s">
        <v>5</v>
      </c>
      <c r="F36" s="45"/>
      <c r="G36" s="46"/>
      <c r="H36" s="46"/>
      <c r="I36" s="151"/>
      <c r="J36" s="46"/>
      <c r="K36" s="152" t="str">
        <f t="shared" si="40"/>
        <v/>
      </c>
      <c r="L36" s="46"/>
      <c r="M36" s="46" t="str">
        <f t="shared" si="41"/>
        <v/>
      </c>
      <c r="N36" s="301"/>
      <c r="O36" s="171">
        <f t="shared" si="3"/>
        <v>2230.4408668888082</v>
      </c>
      <c r="P36" s="172">
        <f t="shared" si="36"/>
        <v>69142.086068221659</v>
      </c>
      <c r="Q36" s="128">
        <f t="shared" si="4"/>
        <v>69142.086068221659</v>
      </c>
      <c r="R36" s="128">
        <f t="shared" si="42"/>
        <v>0</v>
      </c>
      <c r="S36" s="195" t="str">
        <f t="shared" si="12"/>
        <v/>
      </c>
      <c r="T36" s="128"/>
      <c r="U36" s="128"/>
      <c r="V36" s="129" t="str">
        <f t="shared" si="37"/>
        <v/>
      </c>
      <c r="W36" s="129" t="str">
        <f t="shared" si="38"/>
        <v/>
      </c>
      <c r="X36" s="171">
        <f t="shared" si="43"/>
        <v>0</v>
      </c>
      <c r="Y36" s="171">
        <f t="shared" si="43"/>
        <v>0</v>
      </c>
      <c r="Z36" s="171">
        <f t="shared" si="43"/>
        <v>0</v>
      </c>
      <c r="AA36" s="186">
        <f t="shared" si="8"/>
        <v>0</v>
      </c>
      <c r="AB36" s="173">
        <f t="shared" si="13"/>
        <v>0</v>
      </c>
      <c r="AC36" s="76"/>
      <c r="AD36" s="76"/>
      <c r="AE36" s="76"/>
      <c r="AF36" s="76"/>
      <c r="AG36" s="76"/>
    </row>
    <row r="37" spans="1:33">
      <c r="A37" s="1"/>
      <c r="B37" s="4">
        <f t="shared" si="34"/>
        <v>45500</v>
      </c>
      <c r="C37" s="29">
        <f t="shared" si="39"/>
        <v>45500</v>
      </c>
      <c r="D37" s="6">
        <f t="shared" ca="1" si="1"/>
        <v>-209</v>
      </c>
      <c r="E37" s="90" t="s">
        <v>6</v>
      </c>
      <c r="F37" s="45"/>
      <c r="G37" s="46"/>
      <c r="H37" s="46"/>
      <c r="I37" s="151"/>
      <c r="J37" s="46"/>
      <c r="K37" s="152" t="str">
        <f t="shared" si="40"/>
        <v/>
      </c>
      <c r="L37" s="46"/>
      <c r="M37" s="46" t="str">
        <f t="shared" si="41"/>
        <v/>
      </c>
      <c r="N37" s="310"/>
      <c r="O37" s="171">
        <f t="shared" si="3"/>
        <v>2230.4408668888082</v>
      </c>
      <c r="P37" s="172">
        <f t="shared" si="36"/>
        <v>69142.086068221659</v>
      </c>
      <c r="Q37" s="128">
        <f t="shared" si="4"/>
        <v>69142.086068221659</v>
      </c>
      <c r="R37" s="128">
        <f t="shared" si="42"/>
        <v>0</v>
      </c>
      <c r="S37" s="195" t="str">
        <f t="shared" si="12"/>
        <v/>
      </c>
      <c r="T37" s="128"/>
      <c r="U37" s="128"/>
      <c r="V37" s="129" t="str">
        <f t="shared" si="37"/>
        <v/>
      </c>
      <c r="W37" s="129" t="str">
        <f t="shared" si="38"/>
        <v/>
      </c>
      <c r="X37" s="171">
        <f t="shared" si="43"/>
        <v>0</v>
      </c>
      <c r="Y37" s="171">
        <f t="shared" si="43"/>
        <v>0</v>
      </c>
      <c r="Z37" s="171">
        <f t="shared" si="43"/>
        <v>0</v>
      </c>
      <c r="AA37" s="186">
        <f t="shared" si="8"/>
        <v>0</v>
      </c>
      <c r="AB37" s="173">
        <f t="shared" si="13"/>
        <v>0</v>
      </c>
      <c r="AC37" s="76"/>
      <c r="AD37" s="76"/>
      <c r="AE37" s="76"/>
      <c r="AF37" s="76"/>
      <c r="AG37" s="76"/>
    </row>
    <row r="38" spans="1:33" ht="17" thickBot="1">
      <c r="A38" s="1"/>
      <c r="B38" s="43">
        <f t="shared" si="34"/>
        <v>45501</v>
      </c>
      <c r="C38" s="32">
        <f t="shared" si="39"/>
        <v>45501</v>
      </c>
      <c r="D38" s="44">
        <f t="shared" ca="1" si="1"/>
        <v>-210</v>
      </c>
      <c r="E38" s="93" t="s">
        <v>7</v>
      </c>
      <c r="F38" s="45"/>
      <c r="G38" s="46"/>
      <c r="H38" s="46"/>
      <c r="I38" s="151"/>
      <c r="J38" s="46"/>
      <c r="K38" s="152" t="str">
        <f t="shared" si="40"/>
        <v/>
      </c>
      <c r="L38" s="46"/>
      <c r="M38" s="46" t="str">
        <f t="shared" si="41"/>
        <v/>
      </c>
      <c r="N38" s="303"/>
      <c r="O38" s="171">
        <f t="shared" si="3"/>
        <v>2230.4408668888082</v>
      </c>
      <c r="P38" s="172">
        <f t="shared" si="36"/>
        <v>69142.086068221659</v>
      </c>
      <c r="Q38" s="128">
        <f t="shared" si="4"/>
        <v>69142.086068221659</v>
      </c>
      <c r="R38" s="128">
        <f t="shared" si="42"/>
        <v>0</v>
      </c>
      <c r="S38" s="195" t="str">
        <f t="shared" si="12"/>
        <v/>
      </c>
      <c r="T38" s="128"/>
      <c r="U38" s="128"/>
      <c r="V38" s="129" t="str">
        <f t="shared" si="37"/>
        <v/>
      </c>
      <c r="W38" s="129" t="str">
        <f t="shared" si="38"/>
        <v/>
      </c>
      <c r="X38" s="171">
        <f t="shared" si="43"/>
        <v>0</v>
      </c>
      <c r="Y38" s="171">
        <f t="shared" si="43"/>
        <v>0</v>
      </c>
      <c r="Z38" s="171">
        <f t="shared" si="43"/>
        <v>0</v>
      </c>
      <c r="AA38" s="186">
        <f t="shared" si="8"/>
        <v>0</v>
      </c>
      <c r="AB38" s="173">
        <f t="shared" si="13"/>
        <v>0</v>
      </c>
      <c r="AC38" s="76"/>
      <c r="AD38" s="76"/>
      <c r="AE38" s="76"/>
      <c r="AF38" s="76"/>
      <c r="AG38" s="76"/>
    </row>
    <row r="39" spans="1:33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71" t="str">
        <f t="shared" si="3"/>
        <v/>
      </c>
      <c r="P39" s="172"/>
      <c r="Q39" s="128">
        <f t="shared" si="4"/>
        <v>0</v>
      </c>
      <c r="R39" s="188"/>
      <c r="S39" s="195" t="str">
        <f t="shared" si="12"/>
        <v/>
      </c>
      <c r="T39" s="188"/>
      <c r="U39" s="188"/>
      <c r="V39" s="188"/>
      <c r="W39" s="188"/>
      <c r="X39" s="95"/>
      <c r="Y39" s="95"/>
      <c r="Z39" s="95"/>
      <c r="AA39" s="186">
        <f t="shared" si="8"/>
        <v>0</v>
      </c>
      <c r="AB39" s="173">
        <f t="shared" si="13"/>
        <v>0</v>
      </c>
      <c r="AC39" s="76"/>
      <c r="AD39" s="76"/>
      <c r="AE39" s="76"/>
      <c r="AF39" s="76"/>
      <c r="AG39" s="76"/>
    </row>
    <row r="40" spans="1:33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9.7014503866558499</v>
      </c>
      <c r="G40" s="53">
        <f>H40*1.0936113</f>
        <v>17074.5532269</v>
      </c>
      <c r="H40" s="5">
        <f>INT(SUM($O32:$O38))</f>
        <v>15613</v>
      </c>
      <c r="I40" s="120"/>
      <c r="J40" s="123"/>
      <c r="K40" s="124"/>
      <c r="L40" s="159">
        <f>COUNT(S5:S51)-COUNT(V5:V51)</f>
        <v>0</v>
      </c>
      <c r="M40" s="124"/>
      <c r="N40" s="124"/>
      <c r="O40" s="171" t="str">
        <f t="shared" si="3"/>
        <v/>
      </c>
      <c r="P40" s="172"/>
      <c r="Q40" s="128">
        <f t="shared" si="4"/>
        <v>0</v>
      </c>
      <c r="R40" s="189"/>
      <c r="S40" s="195" t="str">
        <f t="shared" si="12"/>
        <v/>
      </c>
      <c r="T40" s="189"/>
      <c r="U40" s="189"/>
      <c r="V40" s="189"/>
      <c r="W40" s="189"/>
      <c r="X40" s="95"/>
      <c r="Y40" s="95"/>
      <c r="Z40" s="95"/>
      <c r="AA40" s="186">
        <f t="shared" si="8"/>
        <v>0</v>
      </c>
      <c r="AB40" s="173">
        <f t="shared" si="13"/>
        <v>0</v>
      </c>
      <c r="AC40" s="76"/>
      <c r="AD40" s="76"/>
      <c r="AE40" s="76"/>
      <c r="AF40" s="76"/>
      <c r="AG40" s="76"/>
    </row>
    <row r="41" spans="1:33" ht="17" thickTop="1">
      <c r="A41" s="1"/>
      <c r="B41" s="47">
        <f t="shared" ref="B41:B47" si="45">IF(B$3&lt;C41,0,C41)</f>
        <v>45502</v>
      </c>
      <c r="C41" s="31">
        <f>C38+1</f>
        <v>45502</v>
      </c>
      <c r="D41" s="18">
        <f t="shared" ca="1" si="1"/>
        <v>-211</v>
      </c>
      <c r="E41" s="94" t="str">
        <f>IF(B41=0,"","Monday")</f>
        <v>Monday</v>
      </c>
      <c r="F41" s="45"/>
      <c r="G41" s="46"/>
      <c r="H41" s="46"/>
      <c r="I41" s="151"/>
      <c r="J41" s="101"/>
      <c r="K41" s="152" t="str">
        <f t="shared" ref="K41:K47" si="46">IF(R41=0,"",IF(L41="","",J41))</f>
        <v/>
      </c>
      <c r="L41" s="101"/>
      <c r="M41" s="46" t="str">
        <f>IF(R41=0,"",IF(J41="","",L41))</f>
        <v/>
      </c>
      <c r="N41" s="301"/>
      <c r="O41" s="171">
        <f t="shared" si="3"/>
        <v>2230.4408668888082</v>
      </c>
      <c r="P41" s="172">
        <f t="shared" ref="P41:P47" si="47">H$56</f>
        <v>69142.086068221659</v>
      </c>
      <c r="Q41" s="128">
        <f t="shared" si="4"/>
        <v>69142.086068221659</v>
      </c>
      <c r="R41" s="128">
        <f>IF(R$2=3,H41+G41/1.0936133+F41/0.0006213712,IF(R$2=2,H41*1.0936133+G41+F41/0.0005681818,IF(R$2=1,H41*0.0005681818*1.0936133+G41*0.0005681818+F41,"")))</f>
        <v>0</v>
      </c>
      <c r="S41" s="195" t="str">
        <f t="shared" si="12"/>
        <v/>
      </c>
      <c r="T41" s="128"/>
      <c r="U41" s="128"/>
      <c r="V41" s="129" t="str">
        <f t="shared" ref="V41:V47" si="48">IF(L41="","",IF(R41=0,"",IF(B41=0,"",IF($R$2=3,R41/L41*60/1000,IF($R$2=2,R41/L41*60/1760,IF($R$2=1,R41/L41*60,""))))))</f>
        <v/>
      </c>
      <c r="W41" s="129" t="str">
        <f t="shared" ref="W41:W47" si="49">IF(R41=0,"",IF(L41="","",V41*L41))</f>
        <v/>
      </c>
      <c r="X41" s="171">
        <f>F41+X38</f>
        <v>0</v>
      </c>
      <c r="Y41" s="171">
        <f>G41+Y38</f>
        <v>0</v>
      </c>
      <c r="Z41" s="171">
        <f>H41+Z38</f>
        <v>0</v>
      </c>
      <c r="AA41" s="186">
        <f t="shared" si="8"/>
        <v>0</v>
      </c>
      <c r="AB41" s="173">
        <f t="shared" si="13"/>
        <v>0</v>
      </c>
      <c r="AC41" s="76"/>
      <c r="AD41" s="76"/>
      <c r="AE41" s="76"/>
      <c r="AF41" s="76"/>
      <c r="AG41" s="76"/>
    </row>
    <row r="42" spans="1:33">
      <c r="A42" s="1"/>
      <c r="B42" s="4">
        <f t="shared" si="45"/>
        <v>45503</v>
      </c>
      <c r="C42" s="29">
        <f t="shared" ref="C42:C47" si="50">C41+1</f>
        <v>45503</v>
      </c>
      <c r="D42" s="6">
        <f t="shared" ca="1" si="1"/>
        <v>-212</v>
      </c>
      <c r="E42" s="90" t="str">
        <f>IF(B42=0,"","Tuesday")</f>
        <v>Tuesday</v>
      </c>
      <c r="F42" s="45"/>
      <c r="G42" s="46"/>
      <c r="H42" s="46"/>
      <c r="I42" s="151"/>
      <c r="J42" s="46"/>
      <c r="K42" s="152" t="str">
        <f t="shared" si="46"/>
        <v/>
      </c>
      <c r="L42" s="46"/>
      <c r="M42" s="46" t="str">
        <f t="shared" ref="M42:M47" si="51">IF(R42=0,"",IF(J42="","",L42))</f>
        <v/>
      </c>
      <c r="N42" s="301"/>
      <c r="O42" s="171">
        <f t="shared" si="3"/>
        <v>2230.4408668888082</v>
      </c>
      <c r="P42" s="172">
        <f t="shared" si="47"/>
        <v>69142.086068221659</v>
      </c>
      <c r="Q42" s="128">
        <f t="shared" si="4"/>
        <v>69142.086068221659</v>
      </c>
      <c r="R42" s="128">
        <f t="shared" ref="R42:R47" si="52">IF(R$2=3,H42+G42/1.0936133+F42/0.0006213712,IF(R$2=2,H42*1.0936133+G42+F42/0.0005681818,IF(R$2=1,H42*0.0005681818*1.0936133+G42*0.0005681818+F42,"")))</f>
        <v>0</v>
      </c>
      <c r="S42" s="195" t="str">
        <f t="shared" si="12"/>
        <v/>
      </c>
      <c r="T42" s="128"/>
      <c r="U42" s="128"/>
      <c r="V42" s="129" t="str">
        <f t="shared" si="48"/>
        <v/>
      </c>
      <c r="W42" s="129" t="str">
        <f t="shared" si="49"/>
        <v/>
      </c>
      <c r="X42" s="171">
        <f t="shared" ref="X42:Z47" si="53">F42+X41</f>
        <v>0</v>
      </c>
      <c r="Y42" s="171">
        <f t="shared" si="53"/>
        <v>0</v>
      </c>
      <c r="Z42" s="171">
        <f t="shared" si="53"/>
        <v>0</v>
      </c>
      <c r="AA42" s="186">
        <f t="shared" si="8"/>
        <v>0</v>
      </c>
      <c r="AB42" s="173">
        <f t="shared" si="13"/>
        <v>0</v>
      </c>
      <c r="AC42" s="76"/>
      <c r="AD42" s="76"/>
      <c r="AE42" s="76"/>
      <c r="AF42" s="76"/>
      <c r="AG42" s="76"/>
    </row>
    <row r="43" spans="1:33">
      <c r="A43" s="1"/>
      <c r="B43" s="4">
        <f t="shared" si="45"/>
        <v>45504</v>
      </c>
      <c r="C43" s="29">
        <f t="shared" si="50"/>
        <v>45504</v>
      </c>
      <c r="D43" s="6">
        <f t="shared" ca="1" si="1"/>
        <v>-213</v>
      </c>
      <c r="E43" s="90" t="str">
        <f>IF(B43=0,"","Wednesday")</f>
        <v>Wednesday</v>
      </c>
      <c r="F43" s="45"/>
      <c r="G43" s="46"/>
      <c r="H43" s="46"/>
      <c r="I43" s="151"/>
      <c r="J43" s="46"/>
      <c r="K43" s="152" t="str">
        <f t="shared" si="46"/>
        <v/>
      </c>
      <c r="L43" s="46"/>
      <c r="M43" s="46" t="str">
        <f t="shared" si="51"/>
        <v/>
      </c>
      <c r="N43" s="301"/>
      <c r="O43" s="171">
        <f t="shared" si="3"/>
        <v>2230.4408668888082</v>
      </c>
      <c r="P43" s="172">
        <f t="shared" si="47"/>
        <v>69142.086068221659</v>
      </c>
      <c r="Q43" s="128">
        <f t="shared" si="4"/>
        <v>69142.086068221659</v>
      </c>
      <c r="R43" s="128">
        <f t="shared" si="52"/>
        <v>0</v>
      </c>
      <c r="S43" s="195" t="str">
        <f t="shared" si="12"/>
        <v/>
      </c>
      <c r="T43" s="128"/>
      <c r="U43" s="128"/>
      <c r="V43" s="129" t="str">
        <f t="shared" si="48"/>
        <v/>
      </c>
      <c r="W43" s="129" t="str">
        <f t="shared" si="49"/>
        <v/>
      </c>
      <c r="X43" s="171">
        <f t="shared" si="53"/>
        <v>0</v>
      </c>
      <c r="Y43" s="171">
        <f t="shared" si="53"/>
        <v>0</v>
      </c>
      <c r="Z43" s="171">
        <f t="shared" si="53"/>
        <v>0</v>
      </c>
      <c r="AA43" s="186">
        <f t="shared" si="8"/>
        <v>0</v>
      </c>
      <c r="AB43" s="173">
        <f t="shared" si="13"/>
        <v>0</v>
      </c>
      <c r="AC43" s="76"/>
      <c r="AD43" s="76"/>
      <c r="AE43" s="76"/>
      <c r="AF43" s="76"/>
      <c r="AG43" s="76"/>
    </row>
    <row r="44" spans="1:33">
      <c r="A44" s="1"/>
      <c r="B44" s="4">
        <f t="shared" si="45"/>
        <v>0</v>
      </c>
      <c r="C44" s="29">
        <f t="shared" si="50"/>
        <v>45505</v>
      </c>
      <c r="D44" s="6">
        <f t="shared" ca="1" si="1"/>
        <v>-214</v>
      </c>
      <c r="E44" s="90" t="str">
        <f>IF(B44=0,"","Thursday")</f>
        <v/>
      </c>
      <c r="F44" s="45"/>
      <c r="G44" s="46"/>
      <c r="H44" s="46"/>
      <c r="I44" s="151"/>
      <c r="J44" s="46"/>
      <c r="K44" s="152" t="str">
        <f t="shared" si="46"/>
        <v/>
      </c>
      <c r="L44" s="46"/>
      <c r="M44" s="46" t="str">
        <f t="shared" si="51"/>
        <v/>
      </c>
      <c r="N44" s="301"/>
      <c r="O44" s="171" t="str">
        <f t="shared" si="3"/>
        <v/>
      </c>
      <c r="P44" s="172">
        <f t="shared" si="47"/>
        <v>69142.086068221659</v>
      </c>
      <c r="Q44" s="128">
        <f t="shared" si="4"/>
        <v>69142.086068221659</v>
      </c>
      <c r="R44" s="128">
        <f t="shared" si="52"/>
        <v>0</v>
      </c>
      <c r="S44" s="195" t="str">
        <f t="shared" si="12"/>
        <v/>
      </c>
      <c r="T44" s="128"/>
      <c r="U44" s="128"/>
      <c r="V44" s="129" t="str">
        <f t="shared" si="48"/>
        <v/>
      </c>
      <c r="W44" s="129" t="str">
        <f t="shared" si="49"/>
        <v/>
      </c>
      <c r="X44" s="171">
        <f t="shared" si="53"/>
        <v>0</v>
      </c>
      <c r="Y44" s="171">
        <f t="shared" si="53"/>
        <v>0</v>
      </c>
      <c r="Z44" s="171">
        <f t="shared" si="53"/>
        <v>0</v>
      </c>
      <c r="AA44" s="186">
        <f t="shared" si="8"/>
        <v>0</v>
      </c>
      <c r="AB44" s="173">
        <f t="shared" si="13"/>
        <v>0</v>
      </c>
      <c r="AC44" s="130"/>
      <c r="AD44" s="130"/>
      <c r="AE44" s="76"/>
      <c r="AF44" s="76"/>
      <c r="AG44" s="76"/>
    </row>
    <row r="45" spans="1:33">
      <c r="A45" s="1"/>
      <c r="B45" s="4">
        <f t="shared" si="45"/>
        <v>0</v>
      </c>
      <c r="C45" s="29">
        <f t="shared" si="50"/>
        <v>45506</v>
      </c>
      <c r="D45" s="6">
        <f t="shared" ca="1" si="1"/>
        <v>-215</v>
      </c>
      <c r="E45" s="90" t="str">
        <f>IF(B45=0,"","Friday")</f>
        <v/>
      </c>
      <c r="F45" s="45"/>
      <c r="G45" s="46"/>
      <c r="H45" s="46"/>
      <c r="I45" s="151"/>
      <c r="J45" s="46"/>
      <c r="K45" s="152" t="str">
        <f t="shared" si="46"/>
        <v/>
      </c>
      <c r="L45" s="46"/>
      <c r="M45" s="46" t="str">
        <f t="shared" si="51"/>
        <v/>
      </c>
      <c r="N45" s="301"/>
      <c r="O45" s="171" t="str">
        <f t="shared" si="3"/>
        <v/>
      </c>
      <c r="P45" s="172">
        <f t="shared" si="47"/>
        <v>69142.086068221659</v>
      </c>
      <c r="Q45" s="128">
        <f t="shared" si="4"/>
        <v>69142.086068221659</v>
      </c>
      <c r="R45" s="128">
        <f t="shared" si="52"/>
        <v>0</v>
      </c>
      <c r="S45" s="195" t="str">
        <f t="shared" si="12"/>
        <v/>
      </c>
      <c r="T45" s="128"/>
      <c r="U45" s="128"/>
      <c r="V45" s="129" t="str">
        <f t="shared" si="48"/>
        <v/>
      </c>
      <c r="W45" s="129" t="str">
        <f t="shared" si="49"/>
        <v/>
      </c>
      <c r="X45" s="171">
        <f t="shared" si="53"/>
        <v>0</v>
      </c>
      <c r="Y45" s="171">
        <f t="shared" si="53"/>
        <v>0</v>
      </c>
      <c r="Z45" s="171">
        <f t="shared" si="53"/>
        <v>0</v>
      </c>
      <c r="AA45" s="186">
        <f t="shared" si="8"/>
        <v>0</v>
      </c>
      <c r="AB45" s="173">
        <f t="shared" si="13"/>
        <v>0</v>
      </c>
      <c r="AC45" s="76"/>
      <c r="AD45" s="76"/>
      <c r="AE45" s="76"/>
      <c r="AF45" s="76"/>
      <c r="AG45" s="76"/>
    </row>
    <row r="46" spans="1:33">
      <c r="A46" s="1"/>
      <c r="B46" s="4">
        <f t="shared" si="45"/>
        <v>0</v>
      </c>
      <c r="C46" s="29">
        <f t="shared" si="50"/>
        <v>45507</v>
      </c>
      <c r="D46" s="6">
        <f t="shared" ca="1" si="1"/>
        <v>-216</v>
      </c>
      <c r="E46" s="90" t="str">
        <f>IF(B46=0,"","Saturday")</f>
        <v/>
      </c>
      <c r="F46" s="45"/>
      <c r="G46" s="46"/>
      <c r="H46" s="46"/>
      <c r="I46" s="151"/>
      <c r="J46" s="46"/>
      <c r="K46" s="152" t="str">
        <f t="shared" si="46"/>
        <v/>
      </c>
      <c r="L46" s="46"/>
      <c r="M46" s="46" t="str">
        <f t="shared" si="51"/>
        <v/>
      </c>
      <c r="N46" s="301"/>
      <c r="O46" s="171" t="str">
        <f t="shared" si="3"/>
        <v/>
      </c>
      <c r="P46" s="172">
        <f t="shared" si="47"/>
        <v>69142.086068221659</v>
      </c>
      <c r="Q46" s="128">
        <f t="shared" si="4"/>
        <v>69142.086068221659</v>
      </c>
      <c r="R46" s="128">
        <f t="shared" si="52"/>
        <v>0</v>
      </c>
      <c r="S46" s="195" t="str">
        <f t="shared" si="12"/>
        <v/>
      </c>
      <c r="T46" s="128"/>
      <c r="U46" s="128"/>
      <c r="V46" s="129" t="str">
        <f t="shared" si="48"/>
        <v/>
      </c>
      <c r="W46" s="129" t="str">
        <f t="shared" si="49"/>
        <v/>
      </c>
      <c r="X46" s="171">
        <f t="shared" si="53"/>
        <v>0</v>
      </c>
      <c r="Y46" s="171">
        <f t="shared" si="53"/>
        <v>0</v>
      </c>
      <c r="Z46" s="171">
        <f t="shared" si="53"/>
        <v>0</v>
      </c>
      <c r="AA46" s="186">
        <f t="shared" si="8"/>
        <v>0</v>
      </c>
      <c r="AB46" s="173">
        <f t="shared" si="13"/>
        <v>0</v>
      </c>
      <c r="AC46" s="76"/>
      <c r="AD46" s="76"/>
      <c r="AE46" s="76"/>
      <c r="AF46" s="76"/>
      <c r="AG46" s="76"/>
    </row>
    <row r="47" spans="1:33" ht="17" thickBot="1">
      <c r="A47" s="1"/>
      <c r="B47" s="43">
        <f t="shared" si="45"/>
        <v>0</v>
      </c>
      <c r="C47" s="32">
        <f t="shared" si="50"/>
        <v>45508</v>
      </c>
      <c r="D47" s="44">
        <f t="shared" ca="1" si="1"/>
        <v>-217</v>
      </c>
      <c r="E47" s="93" t="str">
        <f>IF(B47=0,"","Sunday")</f>
        <v/>
      </c>
      <c r="F47" s="45"/>
      <c r="G47" s="46"/>
      <c r="H47" s="46"/>
      <c r="I47" s="151"/>
      <c r="J47" s="46"/>
      <c r="K47" s="152" t="str">
        <f t="shared" si="46"/>
        <v/>
      </c>
      <c r="L47" s="46"/>
      <c r="M47" s="46" t="str">
        <f t="shared" si="51"/>
        <v/>
      </c>
      <c r="N47" s="302"/>
      <c r="O47" s="171" t="str">
        <f t="shared" si="3"/>
        <v/>
      </c>
      <c r="P47" s="172">
        <f t="shared" si="47"/>
        <v>69142.086068221659</v>
      </c>
      <c r="Q47" s="128">
        <f t="shared" si="4"/>
        <v>69142.086068221659</v>
      </c>
      <c r="R47" s="128">
        <f t="shared" si="52"/>
        <v>0</v>
      </c>
      <c r="S47" s="195" t="str">
        <f t="shared" si="12"/>
        <v/>
      </c>
      <c r="T47" s="128"/>
      <c r="U47" s="128"/>
      <c r="V47" s="129" t="str">
        <f t="shared" si="48"/>
        <v/>
      </c>
      <c r="W47" s="129" t="str">
        <f t="shared" si="49"/>
        <v/>
      </c>
      <c r="X47" s="171">
        <f t="shared" si="53"/>
        <v>0</v>
      </c>
      <c r="Y47" s="171">
        <f t="shared" si="53"/>
        <v>0</v>
      </c>
      <c r="Z47" s="171">
        <f t="shared" si="53"/>
        <v>0</v>
      </c>
      <c r="AA47" s="186">
        <f t="shared" si="8"/>
        <v>0</v>
      </c>
      <c r="AB47" s="173">
        <f t="shared" si="13"/>
        <v>0</v>
      </c>
      <c r="AC47" s="76"/>
      <c r="AD47" s="76"/>
      <c r="AE47" s="76"/>
      <c r="AF47" s="76"/>
      <c r="AG47" s="76"/>
    </row>
    <row r="48" spans="1:33" ht="17" customHeight="1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71" t="str">
        <f t="shared" si="3"/>
        <v/>
      </c>
      <c r="P48" s="79"/>
      <c r="Q48" s="128">
        <f t="shared" si="4"/>
        <v>0</v>
      </c>
      <c r="R48" s="188"/>
      <c r="S48" s="195" t="str">
        <f t="shared" si="12"/>
        <v/>
      </c>
      <c r="T48" s="188"/>
      <c r="U48" s="188"/>
      <c r="V48" s="188"/>
      <c r="W48" s="188"/>
      <c r="X48" s="171"/>
      <c r="Y48" s="171" t="str">
        <f>IF(A48=0,"",G48+Y36)</f>
        <v/>
      </c>
      <c r="Z48" s="171" t="str">
        <f>IF(B48=0,"",H48+Z36)</f>
        <v/>
      </c>
      <c r="AA48" s="186"/>
      <c r="AB48" s="173">
        <f t="shared" si="13"/>
        <v>0</v>
      </c>
      <c r="AC48" s="76"/>
      <c r="AD48" s="76"/>
      <c r="AE48" s="76"/>
      <c r="AF48" s="76"/>
      <c r="AG48" s="76"/>
    </row>
    <row r="49" spans="1:33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4.1575869171276691</v>
      </c>
      <c r="G49" s="53">
        <f>H49*1.0936113</f>
        <v>7317.3532083</v>
      </c>
      <c r="H49" s="5">
        <f>INT(SUM($O41:$O47))</f>
        <v>6691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71" t="str">
        <f t="shared" si="3"/>
        <v/>
      </c>
      <c r="P49" s="95"/>
      <c r="Q49" s="128">
        <f t="shared" si="4"/>
        <v>0</v>
      </c>
      <c r="R49" s="189"/>
      <c r="S49" s="195" t="str">
        <f t="shared" si="12"/>
        <v/>
      </c>
      <c r="T49" s="189"/>
      <c r="U49" s="189"/>
      <c r="V49" s="189"/>
      <c r="W49" s="189"/>
      <c r="X49" s="171"/>
      <c r="Y49" s="171" t="str">
        <f>IF(A49=0,"",G49+Y37)</f>
        <v/>
      </c>
      <c r="Z49" s="171" t="str">
        <f>IF(B49=0,"",H49+Z37)</f>
        <v/>
      </c>
      <c r="AA49" s="186"/>
      <c r="AB49" s="173">
        <f t="shared" si="13"/>
        <v>0</v>
      </c>
      <c r="AC49" s="77"/>
      <c r="AD49" s="77"/>
      <c r="AE49" s="77"/>
      <c r="AF49" s="76"/>
      <c r="AG49" s="76"/>
    </row>
    <row r="50" spans="1:33" ht="17" thickTop="1">
      <c r="A50" s="1"/>
      <c r="B50" s="47">
        <f>IF(B$3&lt;C50,0,C50)</f>
        <v>0</v>
      </c>
      <c r="C50" s="31">
        <f>C47+1</f>
        <v>45509</v>
      </c>
      <c r="D50" s="18">
        <f t="shared" ca="1" si="1"/>
        <v>-218</v>
      </c>
      <c r="E50" s="94" t="str">
        <f>IF(B50=0,"","Monday")</f>
        <v/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71" t="str">
        <f t="shared" si="3"/>
        <v/>
      </c>
      <c r="P50" s="172">
        <f>H$56</f>
        <v>69142.086068221659</v>
      </c>
      <c r="Q50" s="128">
        <f t="shared" si="4"/>
        <v>69142.086068221659</v>
      </c>
      <c r="R50" s="128">
        <f>IF(R$2=3,H50+G50/1.0936133+F50/0.0006213712,IF(R$2=2,H50*1.0936133+G50+F50/0.0005681818,IF(R$2=1,H50*0.0005681818*1.0936133+G50*0.0005681818+F50,"")))</f>
        <v>0</v>
      </c>
      <c r="S50" s="195" t="str">
        <f t="shared" si="12"/>
        <v/>
      </c>
      <c r="T50" s="128"/>
      <c r="U50" s="128"/>
      <c r="V50" s="129" t="str">
        <f>IF(L50="","",IF(R50=0,"",IF(B50=0,"",IF($R$2=3,R50/L50*60/1000,IF($R$2=2,R50/L50*60/1760,IF($R$2=1,R50/L50*60,""))))))</f>
        <v/>
      </c>
      <c r="W50" s="129" t="str">
        <f>IF(R50=0,"",IF(L50="","",V50*L50))</f>
        <v/>
      </c>
      <c r="X50" s="171">
        <f>F50+X47</f>
        <v>0</v>
      </c>
      <c r="Y50" s="171">
        <f>G50+Y47</f>
        <v>0</v>
      </c>
      <c r="Z50" s="171">
        <f>H50+Z47</f>
        <v>0</v>
      </c>
      <c r="AA50" s="186">
        <f t="shared" si="8"/>
        <v>0</v>
      </c>
      <c r="AB50" s="173">
        <f t="shared" si="13"/>
        <v>0</v>
      </c>
      <c r="AC50" s="76"/>
      <c r="AD50" s="76"/>
      <c r="AE50" s="76"/>
      <c r="AF50" s="76"/>
      <c r="AG50" s="76"/>
    </row>
    <row r="51" spans="1:33" ht="17" thickBot="1">
      <c r="A51" s="1"/>
      <c r="B51" s="4">
        <f>IF(B$3&lt;C51,0,C51)</f>
        <v>0</v>
      </c>
      <c r="C51" s="29">
        <f>C50+1</f>
        <v>45510</v>
      </c>
      <c r="D51" s="6">
        <f t="shared" ca="1" si="1"/>
        <v>-219</v>
      </c>
      <c r="E51" s="90" t="str">
        <f>IF(B51=0,"","Tuesday")</f>
        <v/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71" t="str">
        <f t="shared" si="3"/>
        <v/>
      </c>
      <c r="P51" s="172">
        <f>H$56</f>
        <v>69142.086068221659</v>
      </c>
      <c r="Q51" s="128">
        <f t="shared" si="4"/>
        <v>69142.086068221659</v>
      </c>
      <c r="R51" s="128">
        <f>IF(R$2=3,H51+G51/1.0936133+F51/0.0006213712,IF(R$2=2,H51*1.0936133+G51+F51/0.0005681818,IF(R$2=1,H51*0.0005681818*1.0936133+G51*0.0005681818+F51,"")))</f>
        <v>0</v>
      </c>
      <c r="S51" s="195" t="str">
        <f t="shared" si="12"/>
        <v/>
      </c>
      <c r="T51" s="128"/>
      <c r="U51" s="128"/>
      <c r="V51" s="129" t="str">
        <f>IF(L51="","",IF(R51=0,"",IF(B51=0,"",IF($R$2=3,R51/L51*60/1000,IF($R$2=2,R51/L51*60/1760,IF($R$2=1,R51/L51*60,""))))))</f>
        <v/>
      </c>
      <c r="W51" s="129" t="str">
        <f>IF(R51=0,"",IF(L51="","",V51*L51))</f>
        <v/>
      </c>
      <c r="X51" s="171">
        <f>F51+X50</f>
        <v>0</v>
      </c>
      <c r="Y51" s="171">
        <f>G51+Y50</f>
        <v>0</v>
      </c>
      <c r="Z51" s="171">
        <f>H51+Z50</f>
        <v>0</v>
      </c>
      <c r="AA51" s="186">
        <f t="shared" si="8"/>
        <v>0</v>
      </c>
      <c r="AB51" s="173">
        <f t="shared" si="13"/>
        <v>0</v>
      </c>
      <c r="AC51" s="76"/>
      <c r="AD51" s="76"/>
      <c r="AE51" s="76"/>
      <c r="AF51" s="76"/>
      <c r="AG51" s="76"/>
    </row>
    <row r="52" spans="1:33" ht="18" thickTop="1" thickBot="1">
      <c r="A52" s="25"/>
      <c r="B52" s="12"/>
      <c r="C52" s="33"/>
      <c r="D52" s="50"/>
      <c r="E52" s="89" t="s">
        <v>65</v>
      </c>
      <c r="F52" s="49">
        <f ca="1">G52*0.000568181818</f>
        <v>-6.2137005661934355E-59</v>
      </c>
      <c r="G52" s="15">
        <f ca="1">H52*1.0936113</f>
        <v>-1.0936113000000001E-55</v>
      </c>
      <c r="H52" s="102">
        <f ca="1">IF(SUM(B50:B51)=0,-1E-55,IF(TODAY()&gt;=B50,(AA51-AA47)*1000,-2E-55))</f>
        <v>-9.9999999999999999E-56</v>
      </c>
      <c r="I52" s="250"/>
      <c r="J52" s="495" t="s">
        <v>93</v>
      </c>
      <c r="K52" s="496"/>
      <c r="L52" s="496"/>
      <c r="M52" s="253"/>
      <c r="N52" s="254" t="str">
        <f>IF(R$2=1,"Distance (miles)",IF(R$2=2,"Distance (yds)",IF(R$2=3,"Distance (km)","????")))</f>
        <v>Distance (km)</v>
      </c>
      <c r="O52" s="171"/>
      <c r="P52" s="95" t="s">
        <v>1</v>
      </c>
      <c r="Q52" s="95" t="s">
        <v>2</v>
      </c>
      <c r="R52" s="95" t="s">
        <v>3</v>
      </c>
      <c r="S52" s="95" t="s">
        <v>4</v>
      </c>
      <c r="T52" s="95" t="s">
        <v>5</v>
      </c>
      <c r="U52" s="95" t="s">
        <v>6</v>
      </c>
      <c r="V52" s="171" t="s">
        <v>7</v>
      </c>
      <c r="W52" s="171"/>
      <c r="X52" s="171"/>
      <c r="Y52" s="186"/>
      <c r="Z52" s="173"/>
      <c r="AA52" s="79"/>
      <c r="AB52" s="79"/>
      <c r="AC52" s="76"/>
      <c r="AD52" s="76"/>
      <c r="AE52" s="76"/>
      <c r="AF52" s="76"/>
      <c r="AG52" s="76"/>
    </row>
    <row r="53" spans="1:33" ht="17" thickBot="1">
      <c r="A53" s="24"/>
      <c r="B53" s="13"/>
      <c r="C53" s="30"/>
      <c r="D53" s="51"/>
      <c r="E53" s="92" t="s">
        <v>27</v>
      </c>
      <c r="F53" s="52">
        <f>G53*0.0005681818</f>
        <v>-6.2137003693434006E-59</v>
      </c>
      <c r="G53" s="53">
        <f>H53*1.0936113</f>
        <v>-1.0936113000000001E-55</v>
      </c>
      <c r="H53" s="104">
        <f>IF(SUM($O50:$O51)=0,-1E-55,SUM($O50:$O51))</f>
        <v>-9.9999999999999999E-56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190" t="s">
        <v>48</v>
      </c>
      <c r="P53" s="95">
        <f t="shared" ref="P53:V53" si="54">COUNTIFS($E$5:$E$51,P52)</f>
        <v>5</v>
      </c>
      <c r="Q53" s="95">
        <f t="shared" si="54"/>
        <v>5</v>
      </c>
      <c r="R53" s="95">
        <f t="shared" si="54"/>
        <v>5</v>
      </c>
      <c r="S53" s="95">
        <f t="shared" si="54"/>
        <v>4</v>
      </c>
      <c r="T53" s="95">
        <f t="shared" si="54"/>
        <v>4</v>
      </c>
      <c r="U53" s="95">
        <f t="shared" si="54"/>
        <v>4</v>
      </c>
      <c r="V53" s="171">
        <f t="shared" si="54"/>
        <v>4</v>
      </c>
      <c r="W53" s="171"/>
      <c r="X53" s="171"/>
      <c r="Y53" s="186"/>
      <c r="Z53" s="173"/>
      <c r="AA53" s="79"/>
      <c r="AB53" s="79"/>
      <c r="AC53" s="130"/>
      <c r="AD53" s="130"/>
      <c r="AE53" s="76"/>
      <c r="AF53" s="76"/>
      <c r="AG53" s="76"/>
    </row>
    <row r="54" spans="1:33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5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190" t="s">
        <v>47</v>
      </c>
      <c r="P54" s="95">
        <f t="shared" ref="P54:V54" ca="1" si="56">COUNTIFS($D$5:$D$51,"&gt;-1",$E$5:$E$51,P52)</f>
        <v>0</v>
      </c>
      <c r="Q54" s="95">
        <f t="shared" ca="1" si="56"/>
        <v>0</v>
      </c>
      <c r="R54" s="95">
        <f t="shared" ca="1" si="56"/>
        <v>0</v>
      </c>
      <c r="S54" s="95">
        <f t="shared" ca="1" si="56"/>
        <v>0</v>
      </c>
      <c r="T54" s="95">
        <f t="shared" ca="1" si="56"/>
        <v>0</v>
      </c>
      <c r="U54" s="95">
        <f t="shared" ca="1" si="56"/>
        <v>0</v>
      </c>
      <c r="V54" s="171">
        <f t="shared" ca="1" si="56"/>
        <v>0</v>
      </c>
      <c r="W54" s="171"/>
      <c r="X54" s="171"/>
      <c r="Y54" s="186"/>
      <c r="Z54" s="173"/>
      <c r="AA54" s="79"/>
      <c r="AB54" s="79"/>
      <c r="AC54" s="76"/>
      <c r="AD54" s="76"/>
      <c r="AE54" s="76"/>
      <c r="AF54" s="76"/>
      <c r="AG54" s="76"/>
    </row>
    <row r="55" spans="1:33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5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190" t="s">
        <v>66</v>
      </c>
      <c r="P55" s="95">
        <f t="shared" ref="P55:V55" si="57">COUNTIFS($E$5:$E$51,P52,$R$5:$R$51,"&gt;0")</f>
        <v>0</v>
      </c>
      <c r="Q55" s="95">
        <f t="shared" si="57"/>
        <v>0</v>
      </c>
      <c r="R55" s="95">
        <f t="shared" si="57"/>
        <v>0</v>
      </c>
      <c r="S55" s="95">
        <f t="shared" si="57"/>
        <v>0</v>
      </c>
      <c r="T55" s="95">
        <f t="shared" si="57"/>
        <v>0</v>
      </c>
      <c r="U55" s="95">
        <f t="shared" si="57"/>
        <v>0</v>
      </c>
      <c r="V55" s="171">
        <f t="shared" si="57"/>
        <v>0</v>
      </c>
      <c r="W55" s="171"/>
      <c r="X55" s="171"/>
      <c r="Y55" s="186"/>
      <c r="Z55" s="173"/>
      <c r="AA55" s="79"/>
      <c r="AB55" s="79"/>
      <c r="AC55" s="76"/>
      <c r="AD55" s="76"/>
      <c r="AE55" s="76"/>
      <c r="AF55" s="76"/>
      <c r="AG55" s="76"/>
    </row>
    <row r="56" spans="1:33" ht="17" thickBot="1">
      <c r="A56" s="27"/>
      <c r="B56" s="35"/>
      <c r="C56" s="35"/>
      <c r="D56" s="35"/>
      <c r="E56" s="17" t="s">
        <v>41</v>
      </c>
      <c r="F56" s="37">
        <f>G56*0.000568181818</f>
        <v>42.962821934990416</v>
      </c>
      <c r="G56" s="38">
        <f>H56*1.0936113</f>
        <v>75614.566629779787</v>
      </c>
      <c r="H56" s="106">
        <f>SUM(H$53,H40,H31,H22,H49,H13)-1</f>
        <v>69142.086068221659</v>
      </c>
      <c r="I56" s="252"/>
      <c r="J56" s="257" t="str">
        <f>'MY STATS'!AI47</f>
        <v/>
      </c>
      <c r="K56" s="126" t="str">
        <f t="shared" si="55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190" t="s">
        <v>106</v>
      </c>
      <c r="P56" s="95"/>
      <c r="Q56" s="95"/>
      <c r="R56" s="95"/>
      <c r="S56" s="95"/>
      <c r="T56" s="95"/>
      <c r="U56" s="95"/>
      <c r="V56" s="171"/>
      <c r="W56" s="171"/>
      <c r="X56" s="171"/>
      <c r="Y56" s="186"/>
      <c r="Z56" s="173"/>
      <c r="AA56" s="79"/>
      <c r="AB56" s="79"/>
      <c r="AC56" s="76"/>
      <c r="AD56" s="76"/>
      <c r="AE56" s="76"/>
      <c r="AF56" s="276"/>
      <c r="AG56" s="76"/>
    </row>
    <row r="57" spans="1:33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190" t="s">
        <v>97</v>
      </c>
      <c r="P57" s="172">
        <f t="shared" ref="P57:V57" si="58">SUMIF($E$5:$E$51,P52,$S$5:$S$51)</f>
        <v>0</v>
      </c>
      <c r="Q57" s="172">
        <f t="shared" si="58"/>
        <v>0</v>
      </c>
      <c r="R57" s="172">
        <f t="shared" si="58"/>
        <v>0</v>
      </c>
      <c r="S57" s="172">
        <f t="shared" si="58"/>
        <v>0</v>
      </c>
      <c r="T57" s="172">
        <f t="shared" si="58"/>
        <v>0</v>
      </c>
      <c r="U57" s="172">
        <f t="shared" si="58"/>
        <v>0</v>
      </c>
      <c r="V57" s="172">
        <f t="shared" si="58"/>
        <v>0</v>
      </c>
      <c r="W57" s="79"/>
      <c r="X57" s="79"/>
      <c r="Y57" s="95"/>
      <c r="Z57" s="79"/>
      <c r="AA57" s="79"/>
      <c r="AB57" s="79"/>
      <c r="AC57" s="76"/>
      <c r="AD57" s="76"/>
      <c r="AE57" s="76"/>
      <c r="AF57" s="76"/>
      <c r="AG57" s="76"/>
    </row>
    <row r="58" spans="1:33" ht="18" thickTop="1" thickBot="1">
      <c r="A58" s="63">
        <f>A1</f>
        <v>7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190" t="s">
        <v>98</v>
      </c>
      <c r="P58" s="191">
        <f>IF(COUNTIFS($E$5:$E$51,P52,$L$5:$L$51,"&gt;0")=0,0,(SUMIF($E$5:$E$51,P52,$L$5:$L$51)+IF(SUMIF($E$5:$E$51,P52,$R$5:$R$51)=0,-SUMIF($E$5:$E$51,P52,$L$5:$L$51)))/60)</f>
        <v>0</v>
      </c>
      <c r="Q58" s="191">
        <f t="shared" ref="Q58:V58" si="59">IF(COUNTIFS($E$5:$E$51,Q52,$L$5:$L$51,"&gt;0")=0,0,(SUMIF($E$5:$E$51,Q52,$L$5:$L$51)+IF(SUMIF($E$5:$E$51,Q52,$R$5:$R$51)=0,-SUMIF($E$5:$E$51,Q52,$L$5:$L$51)))/60)</f>
        <v>0</v>
      </c>
      <c r="R58" s="191">
        <f t="shared" si="59"/>
        <v>0</v>
      </c>
      <c r="S58" s="191">
        <f t="shared" si="59"/>
        <v>0</v>
      </c>
      <c r="T58" s="191">
        <f t="shared" si="59"/>
        <v>0</v>
      </c>
      <c r="U58" s="191">
        <f t="shared" si="59"/>
        <v>0</v>
      </c>
      <c r="V58" s="79">
        <f t="shared" si="59"/>
        <v>0</v>
      </c>
      <c r="W58" s="79"/>
      <c r="X58" s="79"/>
      <c r="Y58" s="95"/>
      <c r="Z58" s="79"/>
      <c r="AA58" s="79"/>
      <c r="AB58" s="79"/>
      <c r="AC58" s="76"/>
      <c r="AD58" s="76"/>
      <c r="AE58" s="76"/>
      <c r="AF58" s="76"/>
      <c r="AG58" s="76"/>
    </row>
    <row r="59" spans="1:33" ht="18" thickTop="1" thickBot="1">
      <c r="A59" s="66">
        <f>A1</f>
        <v>7</v>
      </c>
      <c r="B59" s="67"/>
      <c r="C59" s="68"/>
      <c r="D59" s="59"/>
      <c r="E59" s="60" t="s">
        <v>52</v>
      </c>
      <c r="F59" s="61">
        <f>G59*0.000568181818</f>
        <v>148.40136794734468</v>
      </c>
      <c r="G59" s="62">
        <f>H59*1.0936113</f>
        <v>261186.40767090628</v>
      </c>
      <c r="H59" s="107">
        <f>VLOOKUP($A$1,'MY STATS'!B$32:K$43,10)</f>
        <v>238829.2875822573</v>
      </c>
      <c r="I59" s="251"/>
      <c r="J59" s="261" t="s">
        <v>57</v>
      </c>
      <c r="K59" s="262" t="str">
        <f t="shared" si="55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190" t="s">
        <v>88</v>
      </c>
      <c r="P59" s="167">
        <f>IFERROR(IF('MY STATS'!$A16=1,P57/P58,IF('MY STATS'!$A16=2,P57/1760/P58,IF('MY STATS'!$A16=3,P57/1000/P58,0))),0)</f>
        <v>0</v>
      </c>
      <c r="Q59" s="167">
        <f>IFERROR(IF('MY STATS'!$A16=1,Q57/Q58,IF('MY STATS'!$A16=2,Q57/1760/Q58,IF('MY STATS'!$A16=3,Q57/1000/Q58,0))),0)</f>
        <v>0</v>
      </c>
      <c r="R59" s="167">
        <f>IFERROR(IF('MY STATS'!$A16=1,R57/R58,IF('MY STATS'!$A16=2,R57/1760/R58,IF('MY STATS'!$A16=3,R57/1000/R58,0))),0)</f>
        <v>0</v>
      </c>
      <c r="S59" s="167">
        <f>IFERROR(IF('MY STATS'!$A16=1,S57/S58,IF('MY STATS'!$A16=2,S57/1760/S58,IF('MY STATS'!$A16=3,S57/1000/S58,0))),0)</f>
        <v>0</v>
      </c>
      <c r="T59" s="167">
        <f>IFERROR(IF('MY STATS'!$A16=1,T57/T58,IF('MY STATS'!$A16=2,T57/1760/T58,IF('MY STATS'!$A16=3,T57/1000/T58,0))),0)</f>
        <v>0</v>
      </c>
      <c r="U59" s="167">
        <f>IFERROR(IF('MY STATS'!$A16=1,U57/U58,IF('MY STATS'!$A16=2,U57/1760/U58,IF('MY STATS'!$A16=3,U57/1000/U58,0))),0)</f>
        <v>0</v>
      </c>
      <c r="V59" s="79">
        <f>IFERROR(IF('MY STATS'!$A16=1,V57/V58,IF('MY STATS'!$A16=2,V57/1760/V58,IF('MY STATS'!$A16=3,V57/1000/V58,0))),0)</f>
        <v>0</v>
      </c>
      <c r="W59" s="79"/>
      <c r="X59" s="79"/>
      <c r="Y59" s="95"/>
      <c r="Z59" s="79"/>
      <c r="AA59" s="79"/>
      <c r="AB59" s="79"/>
      <c r="AC59" s="76"/>
      <c r="AD59" s="76"/>
      <c r="AE59" s="76"/>
      <c r="AF59" s="76"/>
      <c r="AG59" s="76"/>
    </row>
    <row r="60" spans="1:33" ht="17" thickTop="1"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  <c r="AB60" s="79"/>
      <c r="AC60" s="76"/>
      <c r="AD60" s="76"/>
      <c r="AE60" s="76"/>
      <c r="AF60" s="76"/>
      <c r="AG60" s="76"/>
    </row>
    <row r="61" spans="1:33"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5:33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5:33" customFormat="1"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5:33"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7"/>
      <c r="AB67" s="76"/>
      <c r="AC67" s="76"/>
      <c r="AD67" s="76"/>
      <c r="AE67" s="76"/>
      <c r="AF67" s="76"/>
      <c r="AG67" s="76"/>
    </row>
    <row r="68" spans="15:33"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7"/>
      <c r="AB68" s="76"/>
      <c r="AC68" s="76"/>
      <c r="AD68" s="76"/>
      <c r="AE68" s="76"/>
      <c r="AF68" s="76"/>
      <c r="AG68" s="76"/>
    </row>
    <row r="69" spans="15:33"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7"/>
      <c r="AB69" s="76"/>
      <c r="AC69" s="76"/>
      <c r="AD69" s="76"/>
      <c r="AE69" s="76"/>
      <c r="AF69" s="76"/>
      <c r="AG69" s="76"/>
    </row>
    <row r="70" spans="15:33"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7"/>
      <c r="AB70" s="76"/>
      <c r="AC70" s="76"/>
      <c r="AD70" s="76"/>
      <c r="AE70" s="76"/>
      <c r="AF70" s="76"/>
      <c r="AG70" s="76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8783" priority="3835" stopIfTrue="1" operator="notBetween">
      <formula>$B$2</formula>
      <formula>$B$3</formula>
    </cfRule>
  </conditionalFormatting>
  <conditionalFormatting sqref="B14:B20 B23:B29 B49:B51 B40:B47 B53 B31:B38 D3 B5:B11">
    <cfRule type="cellIs" dxfId="8782" priority="3836" operator="greaterThan">
      <formula>$E$3</formula>
    </cfRule>
    <cfRule type="cellIs" dxfId="8781" priority="3837" operator="equal">
      <formula>$E$3</formula>
    </cfRule>
    <cfRule type="cellIs" dxfId="8780" priority="3838" operator="lessThan">
      <formula>$E$3</formula>
    </cfRule>
  </conditionalFormatting>
  <conditionalFormatting sqref="F58:H58 F55:H55">
    <cfRule type="expression" dxfId="8779" priority="3833">
      <formula>$F55&gt;=$F56</formula>
    </cfRule>
  </conditionalFormatting>
  <conditionalFormatting sqref="F5:H10 F14:G20 F23:G29 F38:H38 F41:H47 F11:G11 F32:G37">
    <cfRule type="cellIs" dxfId="8778" priority="3823" stopIfTrue="1" operator="lessThan">
      <formula>0</formula>
    </cfRule>
  </conditionalFormatting>
  <conditionalFormatting sqref="C32:C38 C41:C47 C50:C51 C14:C20 C23:C29 C5:C11">
    <cfRule type="cellIs" dxfId="8777" priority="3828" stopIfTrue="1" operator="notBetween">
      <formula>$B$2</formula>
      <formula>$B$3</formula>
    </cfRule>
  </conditionalFormatting>
  <conditionalFormatting sqref="C41:C47 C50:C51 C32:C38 C14:C20 C23:C29 C5:C11">
    <cfRule type="cellIs" dxfId="8776" priority="3829" operator="greaterThan">
      <formula>$E$3</formula>
    </cfRule>
    <cfRule type="cellIs" dxfId="8775" priority="3830" operator="equal">
      <formula>$E$3</formula>
    </cfRule>
    <cfRule type="cellIs" dxfId="8774" priority="3831" operator="lessThan">
      <formula>$E$3</formula>
    </cfRule>
  </conditionalFormatting>
  <conditionalFormatting sqref="F14:G20 F23:G29 F38:H38 F41:H47 F32:G37">
    <cfRule type="expression" dxfId="8773" priority="3827">
      <formula>$C14&lt;$E$3</formula>
    </cfRule>
  </conditionalFormatting>
  <conditionalFormatting sqref="F5:H10 F14:G20 F23:G29 F38:H38 F41:H47 F11:G11 F32:G37">
    <cfRule type="expression" dxfId="8772" priority="3824">
      <formula>$C5=$E$3</formula>
    </cfRule>
    <cfRule type="expression" dxfId="8771" priority="3825">
      <formula>$C5&lt;$E$3</formula>
    </cfRule>
    <cfRule type="cellIs" dxfId="8770" priority="3826" operator="equal">
      <formula>0</formula>
    </cfRule>
    <cfRule type="expression" dxfId="8769" priority="3832">
      <formula>$C5&gt;$E$3</formula>
    </cfRule>
  </conditionalFormatting>
  <conditionalFormatting sqref="F12:G12">
    <cfRule type="expression" dxfId="8768" priority="3822">
      <formula>$F12&gt;=$F13</formula>
    </cfRule>
  </conditionalFormatting>
  <conditionalFormatting sqref="F21:G21">
    <cfRule type="expression" dxfId="8767" priority="3821">
      <formula>$F21&gt;=$F22</formula>
    </cfRule>
  </conditionalFormatting>
  <conditionalFormatting sqref="F39:H39">
    <cfRule type="expression" dxfId="8766" priority="3820">
      <formula>$F39&gt;=$F40</formula>
    </cfRule>
  </conditionalFormatting>
  <conditionalFormatting sqref="F30:G30">
    <cfRule type="expression" dxfId="8765" priority="3819">
      <formula>$F30&gt;=$F31</formula>
    </cfRule>
  </conditionalFormatting>
  <conditionalFormatting sqref="F48:H48">
    <cfRule type="expression" dxfId="8764" priority="3817" stopIfTrue="1">
      <formula>$H$48=-1E-55</formula>
    </cfRule>
    <cfRule type="expression" dxfId="8763" priority="3818">
      <formula>$F48&gt;=$F49</formula>
    </cfRule>
  </conditionalFormatting>
  <conditionalFormatting sqref="F14:G20 F23:G29 F38:H38 F41:H47 F32:G37">
    <cfRule type="expression" dxfId="8762" priority="3816">
      <formula>$C14&lt;$E$3</formula>
    </cfRule>
  </conditionalFormatting>
  <conditionalFormatting sqref="F14:G20 F5:H10 F23:G29 F38:H38 F41:H47 F11:G11 F32:G37">
    <cfRule type="expression" dxfId="8761" priority="3812">
      <formula>$C5=$E$3</formula>
    </cfRule>
    <cfRule type="expression" dxfId="8760" priority="3813">
      <formula>$C5&lt;$E$3</formula>
    </cfRule>
    <cfRule type="cellIs" dxfId="8759" priority="3814" operator="equal">
      <formula>0</formula>
    </cfRule>
    <cfRule type="expression" dxfId="8758" priority="3815">
      <formula>$C5&gt;$E$3</formula>
    </cfRule>
  </conditionalFormatting>
  <conditionalFormatting sqref="F12:G12">
    <cfRule type="expression" dxfId="8757" priority="3811">
      <formula>$F12&gt;=$F13</formula>
    </cfRule>
  </conditionalFormatting>
  <conditionalFormatting sqref="F21:G21">
    <cfRule type="expression" dxfId="8756" priority="3810">
      <formula>$F21&gt;=$F22</formula>
    </cfRule>
  </conditionalFormatting>
  <conditionalFormatting sqref="F39:H39">
    <cfRule type="expression" dxfId="8755" priority="3809">
      <formula>$F39&gt;=$F40</formula>
    </cfRule>
  </conditionalFormatting>
  <conditionalFormatting sqref="F30:G30">
    <cfRule type="expression" dxfId="8754" priority="3808">
      <formula>$F30&gt;=$F31</formula>
    </cfRule>
  </conditionalFormatting>
  <conditionalFormatting sqref="F48:H48">
    <cfRule type="expression" dxfId="8753" priority="3806" stopIfTrue="1">
      <formula>$E$41=""</formula>
    </cfRule>
    <cfRule type="expression" dxfId="8752" priority="3807">
      <formula>$F48&gt;=$F49</formula>
    </cfRule>
  </conditionalFormatting>
  <conditionalFormatting sqref="F41:H47">
    <cfRule type="expression" dxfId="8751" priority="3805">
      <formula>$E41=""</formula>
    </cfRule>
  </conditionalFormatting>
  <conditionalFormatting sqref="F47:H47">
    <cfRule type="expression" dxfId="8750" priority="3804">
      <formula>$E$46=""</formula>
    </cfRule>
  </conditionalFormatting>
  <conditionalFormatting sqref="F45:H45">
    <cfRule type="expression" dxfId="8749" priority="3803">
      <formula>$E45=""</formula>
    </cfRule>
  </conditionalFormatting>
  <conditionalFormatting sqref="F5:H10 F11:G11">
    <cfRule type="expression" dxfId="8748" priority="3802">
      <formula>$C5&lt;$E$3</formula>
    </cfRule>
  </conditionalFormatting>
  <conditionalFormatting sqref="F5:H10 F11:G11">
    <cfRule type="expression" dxfId="8747" priority="3801">
      <formula>$E5=""</formula>
    </cfRule>
  </conditionalFormatting>
  <conditionalFormatting sqref="F5:H10 F11:G11">
    <cfRule type="expression" dxfId="8746" priority="3797">
      <formula>$C5=$E$3</formula>
    </cfRule>
    <cfRule type="expression" dxfId="8745" priority="3798">
      <formula>$C5&lt;$E$3</formula>
    </cfRule>
    <cfRule type="cellIs" dxfId="8744" priority="3799" operator="equal">
      <formula>0</formula>
    </cfRule>
    <cfRule type="expression" dxfId="8743" priority="3800">
      <formula>$C5&gt;$E$3</formula>
    </cfRule>
  </conditionalFormatting>
  <conditionalFormatting sqref="F5:H10 F11:G11">
    <cfRule type="expression" dxfId="8742" priority="3796">
      <formula>$C5&lt;$E$3</formula>
    </cfRule>
  </conditionalFormatting>
  <conditionalFormatting sqref="F5:H10 F11:G11">
    <cfRule type="expression" dxfId="8741" priority="3795">
      <formula>$E5=""</formula>
    </cfRule>
  </conditionalFormatting>
  <conditionalFormatting sqref="F14:G20">
    <cfRule type="expression" dxfId="8740" priority="3794">
      <formula>$C14&lt;$E$3</formula>
    </cfRule>
  </conditionalFormatting>
  <conditionalFormatting sqref="F14:G20">
    <cfRule type="expression" dxfId="8739" priority="3790">
      <formula>$C14=$E$3</formula>
    </cfRule>
    <cfRule type="expression" dxfId="8738" priority="3791">
      <formula>$C14&lt;$E$3</formula>
    </cfRule>
    <cfRule type="cellIs" dxfId="8737" priority="3792" operator="equal">
      <formula>0</formula>
    </cfRule>
    <cfRule type="expression" dxfId="8736" priority="3793">
      <formula>$C14&gt;$E$3</formula>
    </cfRule>
  </conditionalFormatting>
  <conditionalFormatting sqref="F5:H10 F11:G11">
    <cfRule type="expression" dxfId="8735" priority="3789">
      <formula>$C5&lt;$E$3</formula>
    </cfRule>
  </conditionalFormatting>
  <conditionalFormatting sqref="F5:H10 F11:G11">
    <cfRule type="expression" dxfId="8734" priority="3785">
      <formula>$C5=$E$3</formula>
    </cfRule>
    <cfRule type="expression" dxfId="8733" priority="3786">
      <formula>$C5&lt;$E$3</formula>
    </cfRule>
    <cfRule type="cellIs" dxfId="8732" priority="3787" operator="equal">
      <formula>0</formula>
    </cfRule>
    <cfRule type="expression" dxfId="8731" priority="3788">
      <formula>$C5&gt;$E$3</formula>
    </cfRule>
  </conditionalFormatting>
  <conditionalFormatting sqref="F5:H10 F11:G11">
    <cfRule type="expression" dxfId="8730" priority="3784">
      <formula>$E5=""</formula>
    </cfRule>
  </conditionalFormatting>
  <conditionalFormatting sqref="F5:H10 F11:G11">
    <cfRule type="expression" dxfId="8729" priority="3783">
      <formula>$C5&lt;$E$3</formula>
    </cfRule>
  </conditionalFormatting>
  <conditionalFormatting sqref="F5:H10 F11:G11">
    <cfRule type="expression" dxfId="8728" priority="3782">
      <formula>$E5=""</formula>
    </cfRule>
  </conditionalFormatting>
  <conditionalFormatting sqref="F5:H10 F11:G11">
    <cfRule type="expression" dxfId="8727" priority="3781">
      <formula>$E5=""</formula>
    </cfRule>
  </conditionalFormatting>
  <conditionalFormatting sqref="F5:H10 F11:G11">
    <cfRule type="expression" dxfId="8726" priority="3780">
      <formula>$C5&lt;$E$3</formula>
    </cfRule>
  </conditionalFormatting>
  <conditionalFormatting sqref="F5:H10 F11:G11">
    <cfRule type="expression" dxfId="8725" priority="3779">
      <formula>$E5=""</formula>
    </cfRule>
  </conditionalFormatting>
  <conditionalFormatting sqref="F5:H10 F11:G11">
    <cfRule type="expression" dxfId="8724" priority="3778">
      <formula>$C5&lt;$E$3</formula>
    </cfRule>
  </conditionalFormatting>
  <conditionalFormatting sqref="F5:H10 F11:G11">
    <cfRule type="expression" dxfId="8723" priority="3777">
      <formula>$E5=""</formula>
    </cfRule>
  </conditionalFormatting>
  <conditionalFormatting sqref="F5:H10 F11:G11">
    <cfRule type="expression" dxfId="8722" priority="3776">
      <formula>$C5&lt;$E$3</formula>
    </cfRule>
  </conditionalFormatting>
  <conditionalFormatting sqref="F5:H10 F11:G11">
    <cfRule type="expression" dxfId="8721" priority="3775">
      <formula>$E5=""</formula>
    </cfRule>
  </conditionalFormatting>
  <conditionalFormatting sqref="F14:G20">
    <cfRule type="expression" dxfId="8720" priority="3774">
      <formula>$C14&lt;$E$3</formula>
    </cfRule>
  </conditionalFormatting>
  <conditionalFormatting sqref="F14:G20">
    <cfRule type="expression" dxfId="8719" priority="3770">
      <formula>$C14=$E$3</formula>
    </cfRule>
    <cfRule type="expression" dxfId="8718" priority="3771">
      <formula>$C14&lt;$E$3</formula>
    </cfRule>
    <cfRule type="cellIs" dxfId="8717" priority="3772" operator="equal">
      <formula>0</formula>
    </cfRule>
    <cfRule type="expression" dxfId="8716" priority="3773">
      <formula>$C14&gt;$E$3</formula>
    </cfRule>
  </conditionalFormatting>
  <conditionalFormatting sqref="F14:G20">
    <cfRule type="expression" dxfId="8715" priority="3769">
      <formula>$E14=""</formula>
    </cfRule>
  </conditionalFormatting>
  <conditionalFormatting sqref="F14:G20">
    <cfRule type="expression" dxfId="8714" priority="3768">
      <formula>$C14&lt;$E$3</formula>
    </cfRule>
  </conditionalFormatting>
  <conditionalFormatting sqref="F14:G20">
    <cfRule type="expression" dxfId="8713" priority="3767">
      <formula>$E14=""</formula>
    </cfRule>
  </conditionalFormatting>
  <conditionalFormatting sqref="F14:G20">
    <cfRule type="expression" dxfId="8712" priority="3766">
      <formula>$E14=""</formula>
    </cfRule>
  </conditionalFormatting>
  <conditionalFormatting sqref="F14:G20">
    <cfRule type="expression" dxfId="8711" priority="3765">
      <formula>$C14&lt;$E$3</formula>
    </cfRule>
  </conditionalFormatting>
  <conditionalFormatting sqref="F14:G20">
    <cfRule type="expression" dxfId="8710" priority="3764">
      <formula>$E14=""</formula>
    </cfRule>
  </conditionalFormatting>
  <conditionalFormatting sqref="F14:G20">
    <cfRule type="expression" dxfId="8709" priority="3763">
      <formula>$C14&lt;$E$3</formula>
    </cfRule>
  </conditionalFormatting>
  <conditionalFormatting sqref="F14:G20">
    <cfRule type="expression" dxfId="8708" priority="3762">
      <formula>$E14=""</formula>
    </cfRule>
  </conditionalFormatting>
  <conditionalFormatting sqref="F14:G20">
    <cfRule type="expression" dxfId="8707" priority="3761">
      <formula>$C14&lt;$E$3</formula>
    </cfRule>
  </conditionalFormatting>
  <conditionalFormatting sqref="F14:G20">
    <cfRule type="expression" dxfId="8706" priority="3760">
      <formula>$E14=""</formula>
    </cfRule>
  </conditionalFormatting>
  <conditionalFormatting sqref="F23:G29">
    <cfRule type="expression" dxfId="8705" priority="3759">
      <formula>$C23&lt;$E$3</formula>
    </cfRule>
  </conditionalFormatting>
  <conditionalFormatting sqref="F23:G29">
    <cfRule type="expression" dxfId="8704" priority="3755">
      <formula>$C23=$E$3</formula>
    </cfRule>
    <cfRule type="expression" dxfId="8703" priority="3756">
      <formula>$C23&lt;$E$3</formula>
    </cfRule>
    <cfRule type="cellIs" dxfId="8702" priority="3757" operator="equal">
      <formula>0</formula>
    </cfRule>
    <cfRule type="expression" dxfId="8701" priority="3758">
      <formula>$C23&gt;$E$3</formula>
    </cfRule>
  </conditionalFormatting>
  <conditionalFormatting sqref="F23:G29">
    <cfRule type="expression" dxfId="8700" priority="3754">
      <formula>$C23&lt;$E$3</formula>
    </cfRule>
  </conditionalFormatting>
  <conditionalFormatting sqref="F23:G29">
    <cfRule type="expression" dxfId="8699" priority="3750">
      <formula>$C23=$E$3</formula>
    </cfRule>
    <cfRule type="expression" dxfId="8698" priority="3751">
      <formula>$C23&lt;$E$3</formula>
    </cfRule>
    <cfRule type="cellIs" dxfId="8697" priority="3752" operator="equal">
      <formula>0</formula>
    </cfRule>
    <cfRule type="expression" dxfId="8696" priority="3753">
      <formula>$C23&gt;$E$3</formula>
    </cfRule>
  </conditionalFormatting>
  <conditionalFormatting sqref="F23:G29">
    <cfRule type="expression" dxfId="8695" priority="3749">
      <formula>$E23=""</formula>
    </cfRule>
  </conditionalFormatting>
  <conditionalFormatting sqref="F23:G29">
    <cfRule type="expression" dxfId="8694" priority="3748">
      <formula>$C23&lt;$E$3</formula>
    </cfRule>
  </conditionalFormatting>
  <conditionalFormatting sqref="F23:G29">
    <cfRule type="expression" dxfId="8693" priority="3747">
      <formula>$E23=""</formula>
    </cfRule>
  </conditionalFormatting>
  <conditionalFormatting sqref="F23:G29">
    <cfRule type="expression" dxfId="8692" priority="3746">
      <formula>$E23=""</formula>
    </cfRule>
  </conditionalFormatting>
  <conditionalFormatting sqref="F23:G29">
    <cfRule type="expression" dxfId="8691" priority="3745">
      <formula>$C23&lt;$E$3</formula>
    </cfRule>
  </conditionalFormatting>
  <conditionalFormatting sqref="F23:G29">
    <cfRule type="expression" dxfId="8690" priority="3744">
      <formula>$E23=""</formula>
    </cfRule>
  </conditionalFormatting>
  <conditionalFormatting sqref="F23:G29">
    <cfRule type="expression" dxfId="8689" priority="3743">
      <formula>$C23&lt;$E$3</formula>
    </cfRule>
  </conditionalFormatting>
  <conditionalFormatting sqref="F23:G29">
    <cfRule type="expression" dxfId="8688" priority="3742">
      <formula>$E23=""</formula>
    </cfRule>
  </conditionalFormatting>
  <conditionalFormatting sqref="F23:G29">
    <cfRule type="expression" dxfId="8687" priority="3741">
      <formula>$C23&lt;$E$3</formula>
    </cfRule>
  </conditionalFormatting>
  <conditionalFormatting sqref="F23:G29">
    <cfRule type="expression" dxfId="8686" priority="3740">
      <formula>$E23=""</formula>
    </cfRule>
  </conditionalFormatting>
  <conditionalFormatting sqref="F38:H38 F32:G37">
    <cfRule type="expression" dxfId="8685" priority="3739">
      <formula>$C32&lt;$E$3</formula>
    </cfRule>
  </conditionalFormatting>
  <conditionalFormatting sqref="F38:H38 F32:G37">
    <cfRule type="expression" dxfId="8684" priority="3735">
      <formula>$C32=$E$3</formula>
    </cfRule>
    <cfRule type="expression" dxfId="8683" priority="3736">
      <formula>$C32&lt;$E$3</formula>
    </cfRule>
    <cfRule type="cellIs" dxfId="8682" priority="3737" operator="equal">
      <formula>0</formula>
    </cfRule>
    <cfRule type="expression" dxfId="8681" priority="3738">
      <formula>$C32&gt;$E$3</formula>
    </cfRule>
  </conditionalFormatting>
  <conditionalFormatting sqref="F38:H38 F32:G37">
    <cfRule type="expression" dxfId="8680" priority="3734">
      <formula>$C32&lt;$E$3</formula>
    </cfRule>
  </conditionalFormatting>
  <conditionalFormatting sqref="F38:H38 F32:G37">
    <cfRule type="expression" dxfId="8679" priority="3730">
      <formula>$C32=$E$3</formula>
    </cfRule>
    <cfRule type="expression" dxfId="8678" priority="3731">
      <formula>$C32&lt;$E$3</formula>
    </cfRule>
    <cfRule type="cellIs" dxfId="8677" priority="3732" operator="equal">
      <formula>0</formula>
    </cfRule>
    <cfRule type="expression" dxfId="8676" priority="3733">
      <formula>$C32&gt;$E$3</formula>
    </cfRule>
  </conditionalFormatting>
  <conditionalFormatting sqref="F38:H38 F32:G37">
    <cfRule type="expression" dxfId="8675" priority="3729">
      <formula>$E32=""</formula>
    </cfRule>
  </conditionalFormatting>
  <conditionalFormatting sqref="F38:H38 F32:G37">
    <cfRule type="expression" dxfId="8674" priority="3728">
      <formula>$C32&lt;$E$3</formula>
    </cfRule>
  </conditionalFormatting>
  <conditionalFormatting sqref="F38:H38 F32:G37">
    <cfRule type="expression" dxfId="8673" priority="3727">
      <formula>$E32=""</formula>
    </cfRule>
  </conditionalFormatting>
  <conditionalFormatting sqref="F38:H38 F32:G37">
    <cfRule type="expression" dxfId="8672" priority="3726">
      <formula>$E32=""</formula>
    </cfRule>
  </conditionalFormatting>
  <conditionalFormatting sqref="F38:H38 F32:G37">
    <cfRule type="expression" dxfId="8671" priority="3725">
      <formula>$C32&lt;$E$3</formula>
    </cfRule>
  </conditionalFormatting>
  <conditionalFormatting sqref="F38:H38 F32:G37">
    <cfRule type="expression" dxfId="8670" priority="3724">
      <formula>$E32=""</formula>
    </cfRule>
  </conditionalFormatting>
  <conditionalFormatting sqref="F38:H38 F32:G37">
    <cfRule type="expression" dxfId="8669" priority="3723">
      <formula>$C32&lt;$E$3</formula>
    </cfRule>
  </conditionalFormatting>
  <conditionalFormatting sqref="F38:H38 F32:G37">
    <cfRule type="expression" dxfId="8668" priority="3722">
      <formula>$E32=""</formula>
    </cfRule>
  </conditionalFormatting>
  <conditionalFormatting sqref="F38:H38 F32:G37">
    <cfRule type="expression" dxfId="8667" priority="3721">
      <formula>$C32&lt;$E$3</formula>
    </cfRule>
  </conditionalFormatting>
  <conditionalFormatting sqref="F38:H38 F32:G37">
    <cfRule type="expression" dxfId="8666" priority="3720">
      <formula>$E32=""</formula>
    </cfRule>
  </conditionalFormatting>
  <conditionalFormatting sqref="F41:H47">
    <cfRule type="expression" dxfId="8665" priority="3719">
      <formula>$C41&lt;$E$3</formula>
    </cfRule>
  </conditionalFormatting>
  <conditionalFormatting sqref="F41:H47">
    <cfRule type="expression" dxfId="8664" priority="3715">
      <formula>$C41=$E$3</formula>
    </cfRule>
    <cfRule type="expression" dxfId="8663" priority="3716">
      <formula>$C41&lt;$E$3</formula>
    </cfRule>
    <cfRule type="cellIs" dxfId="8662" priority="3717" operator="equal">
      <formula>0</formula>
    </cfRule>
    <cfRule type="expression" dxfId="8661" priority="3718">
      <formula>$C41&gt;$E$3</formula>
    </cfRule>
  </conditionalFormatting>
  <conditionalFormatting sqref="F41:H47">
    <cfRule type="expression" dxfId="8660" priority="3714">
      <formula>$C41&lt;$E$3</formula>
    </cfRule>
  </conditionalFormatting>
  <conditionalFormatting sqref="F41:H47">
    <cfRule type="expression" dxfId="8659" priority="3710">
      <formula>$C41=$E$3</formula>
    </cfRule>
    <cfRule type="expression" dxfId="8658" priority="3711">
      <formula>$C41&lt;$E$3</formula>
    </cfRule>
    <cfRule type="cellIs" dxfId="8657" priority="3712" operator="equal">
      <formula>0</formula>
    </cfRule>
    <cfRule type="expression" dxfId="8656" priority="3713">
      <formula>$C41&gt;$E$3</formula>
    </cfRule>
  </conditionalFormatting>
  <conditionalFormatting sqref="F41:H47">
    <cfRule type="expression" dxfId="8655" priority="3709">
      <formula>$E41=""</formula>
    </cfRule>
  </conditionalFormatting>
  <conditionalFormatting sqref="F41:H47">
    <cfRule type="expression" dxfId="8654" priority="3708">
      <formula>$C41&lt;$E$3</formula>
    </cfRule>
  </conditionalFormatting>
  <conditionalFormatting sqref="F41:H47">
    <cfRule type="expression" dxfId="8653" priority="3707">
      <formula>$E41=""</formula>
    </cfRule>
  </conditionalFormatting>
  <conditionalFormatting sqref="F41:H47">
    <cfRule type="expression" dxfId="8652" priority="3706">
      <formula>$E41=""</formula>
    </cfRule>
  </conditionalFormatting>
  <conditionalFormatting sqref="F41:H47">
    <cfRule type="expression" dxfId="8651" priority="3705">
      <formula>$C41&lt;$E$3</formula>
    </cfRule>
  </conditionalFormatting>
  <conditionalFormatting sqref="F41:H47">
    <cfRule type="expression" dxfId="8650" priority="3704">
      <formula>$E41=""</formula>
    </cfRule>
  </conditionalFormatting>
  <conditionalFormatting sqref="F41:H47">
    <cfRule type="expression" dxfId="8649" priority="3703">
      <formula>$C41&lt;$E$3</formula>
    </cfRule>
  </conditionalFormatting>
  <conditionalFormatting sqref="F41:H47">
    <cfRule type="expression" dxfId="8648" priority="3702">
      <formula>$E41=""</formula>
    </cfRule>
  </conditionalFormatting>
  <conditionalFormatting sqref="F41:H47">
    <cfRule type="expression" dxfId="8647" priority="3701">
      <formula>$C41&lt;$E$3</formula>
    </cfRule>
  </conditionalFormatting>
  <conditionalFormatting sqref="F41:H47">
    <cfRule type="expression" dxfId="8646" priority="3700">
      <formula>$E41=""</formula>
    </cfRule>
  </conditionalFormatting>
  <conditionalFormatting sqref="F50:H51">
    <cfRule type="cellIs" dxfId="8645" priority="3699" stopIfTrue="1" operator="lessThan">
      <formula>0</formula>
    </cfRule>
  </conditionalFormatting>
  <conditionalFormatting sqref="F50:H51">
    <cfRule type="expression" dxfId="8644" priority="3698">
      <formula>$C50&lt;$E$3</formula>
    </cfRule>
  </conditionalFormatting>
  <conditionalFormatting sqref="F50:H51">
    <cfRule type="expression" dxfId="8643" priority="3694">
      <formula>$C50=$E$3</formula>
    </cfRule>
    <cfRule type="expression" dxfId="8642" priority="3695">
      <formula>$C50&lt;$E$3</formula>
    </cfRule>
    <cfRule type="cellIs" dxfId="8641" priority="3696" operator="equal">
      <formula>0</formula>
    </cfRule>
    <cfRule type="expression" dxfId="8640" priority="3697">
      <formula>$C50&gt;$E$3</formula>
    </cfRule>
  </conditionalFormatting>
  <conditionalFormatting sqref="F50:H51">
    <cfRule type="expression" dxfId="8639" priority="3693">
      <formula>$C50&lt;$E$3</formula>
    </cfRule>
  </conditionalFormatting>
  <conditionalFormatting sqref="F50:H51">
    <cfRule type="expression" dxfId="8638" priority="3689">
      <formula>$C50=$E$3</formula>
    </cfRule>
    <cfRule type="expression" dxfId="8637" priority="3690">
      <formula>$C50&lt;$E$3</formula>
    </cfRule>
    <cfRule type="cellIs" dxfId="8636" priority="3691" operator="equal">
      <formula>0</formula>
    </cfRule>
    <cfRule type="expression" dxfId="8635" priority="3692">
      <formula>$C50&gt;$E$3</formula>
    </cfRule>
  </conditionalFormatting>
  <conditionalFormatting sqref="F50:H51">
    <cfRule type="expression" dxfId="8634" priority="3688">
      <formula>$C50&lt;$E$3</formula>
    </cfRule>
  </conditionalFormatting>
  <conditionalFormatting sqref="F50:H51">
    <cfRule type="expression" dxfId="8633" priority="3684">
      <formula>$C50=$E$3</formula>
    </cfRule>
    <cfRule type="expression" dxfId="8632" priority="3685">
      <formula>$C50&lt;$E$3</formula>
    </cfRule>
    <cfRule type="cellIs" dxfId="8631" priority="3686" operator="equal">
      <formula>0</formula>
    </cfRule>
    <cfRule type="expression" dxfId="8630" priority="3687">
      <formula>$C50&gt;$E$3</formula>
    </cfRule>
  </conditionalFormatting>
  <conditionalFormatting sqref="F50:H51">
    <cfRule type="expression" dxfId="8629" priority="3683">
      <formula>$C50&lt;$E$3</formula>
    </cfRule>
  </conditionalFormatting>
  <conditionalFormatting sqref="F50:H51">
    <cfRule type="expression" dxfId="8628" priority="3679">
      <formula>$C50=$E$3</formula>
    </cfRule>
    <cfRule type="expression" dxfId="8627" priority="3680">
      <formula>$C50&lt;$E$3</formula>
    </cfRule>
    <cfRule type="cellIs" dxfId="8626" priority="3681" operator="equal">
      <formula>0</formula>
    </cfRule>
    <cfRule type="expression" dxfId="8625" priority="3682">
      <formula>$C50&gt;$E$3</formula>
    </cfRule>
  </conditionalFormatting>
  <conditionalFormatting sqref="F50:H51">
    <cfRule type="expression" dxfId="8624" priority="3678">
      <formula>$E50=""</formula>
    </cfRule>
  </conditionalFormatting>
  <conditionalFormatting sqref="F50:H51">
    <cfRule type="expression" dxfId="8623" priority="3677">
      <formula>$C50&lt;$E$3</formula>
    </cfRule>
  </conditionalFormatting>
  <conditionalFormatting sqref="F50:H51">
    <cfRule type="expression" dxfId="8622" priority="3676">
      <formula>$E50=""</formula>
    </cfRule>
  </conditionalFormatting>
  <conditionalFormatting sqref="F50:H51">
    <cfRule type="expression" dxfId="8621" priority="3675">
      <formula>$E50=""</formula>
    </cfRule>
  </conditionalFormatting>
  <conditionalFormatting sqref="F50:H51">
    <cfRule type="expression" dxfId="8620" priority="3674">
      <formula>$C50&lt;$E$3</formula>
    </cfRule>
  </conditionalFormatting>
  <conditionalFormatting sqref="F50:H51">
    <cfRule type="expression" dxfId="8619" priority="3673">
      <formula>$E50=""</formula>
    </cfRule>
  </conditionalFormatting>
  <conditionalFormatting sqref="F50:H51">
    <cfRule type="expression" dxfId="8618" priority="3672">
      <formula>$C50&lt;$E$3</formula>
    </cfRule>
  </conditionalFormatting>
  <conditionalFormatting sqref="F50:H51">
    <cfRule type="expression" dxfId="8617" priority="3671">
      <formula>$E50=""</formula>
    </cfRule>
  </conditionalFormatting>
  <conditionalFormatting sqref="F50:H51">
    <cfRule type="expression" dxfId="8616" priority="3670">
      <formula>$C50&lt;$E$3</formula>
    </cfRule>
  </conditionalFormatting>
  <conditionalFormatting sqref="F50:H51">
    <cfRule type="expression" dxfId="8615" priority="3669">
      <formula>$E50=""</formula>
    </cfRule>
  </conditionalFormatting>
  <conditionalFormatting sqref="E14:E20 E5:E11 E41:E47 E32:E38 E23:E29 E50:E51">
    <cfRule type="containsText" dxfId="8614" priority="3662" operator="containsText" text="Sa">
      <formula>NOT(ISERROR(SEARCH("Sa",E5)))</formula>
    </cfRule>
    <cfRule type="containsText" dxfId="8613" priority="3664" operator="containsText" text="Fr">
      <formula>NOT(ISERROR(SEARCH("Fr",E5)))</formula>
    </cfRule>
    <cfRule type="containsText" dxfId="8612" priority="3665" operator="containsText" text="Th">
      <formula>NOT(ISERROR(SEARCH("Th",E5)))</formula>
    </cfRule>
  </conditionalFormatting>
  <conditionalFormatting sqref="E14:E20 E5:E11 E41:E47 E32:E38 E23:E29 E50:E51">
    <cfRule type="containsText" dxfId="8611" priority="3666" operator="containsText" text="Wed">
      <formula>NOT(ISERROR(SEARCH("Wed",E5)))</formula>
    </cfRule>
    <cfRule type="containsText" dxfId="8610" priority="3667" operator="containsText" text="Tu">
      <formula>NOT(ISERROR(SEARCH("Tu",E5)))</formula>
    </cfRule>
    <cfRule type="beginsWith" dxfId="8609" priority="3668" operator="beginsWith" text="M">
      <formula>LEFT(E5,1)="M"</formula>
    </cfRule>
  </conditionalFormatting>
  <conditionalFormatting sqref="E14:E20 E5:E11 E41:E47 E32:E38 E23:E29 E50:E51">
    <cfRule type="containsText" dxfId="8608" priority="3663" operator="containsText" text="Su">
      <formula>NOT(ISERROR(SEARCH("Su",E5)))</formula>
    </cfRule>
  </conditionalFormatting>
  <conditionalFormatting sqref="C4">
    <cfRule type="cellIs" dxfId="8607" priority="3658" stopIfTrue="1" operator="notBetween">
      <formula>$B$2</formula>
      <formula>$B$3</formula>
    </cfRule>
  </conditionalFormatting>
  <conditionalFormatting sqref="C4">
    <cfRule type="cellIs" dxfId="8606" priority="3659" operator="greaterThan">
      <formula>$E$3</formula>
    </cfRule>
    <cfRule type="cellIs" dxfId="8605" priority="3660" operator="equal">
      <formula>$E$3</formula>
    </cfRule>
    <cfRule type="cellIs" dxfId="8604" priority="3661" operator="lessThan">
      <formula>$E$3</formula>
    </cfRule>
  </conditionalFormatting>
  <conditionalFormatting sqref="K36:K38">
    <cfRule type="expression" dxfId="8603" priority="1814">
      <formula>$C36&lt;$E$3</formula>
    </cfRule>
  </conditionalFormatting>
  <conditionalFormatting sqref="H11">
    <cfRule type="cellIs" dxfId="8602" priority="3468" stopIfTrue="1" operator="lessThan">
      <formula>0</formula>
    </cfRule>
  </conditionalFormatting>
  <conditionalFormatting sqref="H12">
    <cfRule type="expression" dxfId="8601" priority="3467">
      <formula>$F12&gt;=$F13</formula>
    </cfRule>
  </conditionalFormatting>
  <conditionalFormatting sqref="H21">
    <cfRule type="expression" dxfId="8600" priority="3466">
      <formula>$F21&gt;=$F22</formula>
    </cfRule>
  </conditionalFormatting>
  <conditionalFormatting sqref="H30">
    <cfRule type="expression" dxfId="8599" priority="3465">
      <formula>$F30&gt;=$F31</formula>
    </cfRule>
  </conditionalFormatting>
  <conditionalFormatting sqref="H12">
    <cfRule type="expression" dxfId="8598" priority="3464">
      <formula>$F12&gt;=$F13</formula>
    </cfRule>
  </conditionalFormatting>
  <conditionalFormatting sqref="H21">
    <cfRule type="expression" dxfId="8597" priority="3463">
      <formula>$F21&gt;=$F22</formula>
    </cfRule>
  </conditionalFormatting>
  <conditionalFormatting sqref="H30">
    <cfRule type="expression" dxfId="8596" priority="3462">
      <formula>$F30&gt;=$F31</formula>
    </cfRule>
  </conditionalFormatting>
  <conditionalFormatting sqref="H11">
    <cfRule type="expression" dxfId="8595" priority="3460">
      <formula>$C11&lt;$E$3</formula>
    </cfRule>
  </conditionalFormatting>
  <conditionalFormatting sqref="H11">
    <cfRule type="expression" dxfId="8594" priority="3457">
      <formula>$C11=$E$3</formula>
    </cfRule>
    <cfRule type="expression" dxfId="8593" priority="3458">
      <formula>$C11&lt;$E$3</formula>
    </cfRule>
    <cfRule type="cellIs" dxfId="8592" priority="3459" operator="equal">
      <formula>0</formula>
    </cfRule>
    <cfRule type="expression" dxfId="8591" priority="3461">
      <formula>$C11&gt;$E$3</formula>
    </cfRule>
  </conditionalFormatting>
  <conditionalFormatting sqref="H11">
    <cfRule type="expression" dxfId="8590" priority="3456">
      <formula>$C11&lt;$E$3</formula>
    </cfRule>
  </conditionalFormatting>
  <conditionalFormatting sqref="H11">
    <cfRule type="expression" dxfId="8589" priority="3452">
      <formula>$C11=$E$3</formula>
    </cfRule>
    <cfRule type="expression" dxfId="8588" priority="3453">
      <formula>$C11&lt;$E$3</formula>
    </cfRule>
    <cfRule type="cellIs" dxfId="8587" priority="3454" operator="equal">
      <formula>0</formula>
    </cfRule>
    <cfRule type="expression" dxfId="8586" priority="3455">
      <formula>$C11&gt;$E$3</formula>
    </cfRule>
  </conditionalFormatting>
  <conditionalFormatting sqref="H11">
    <cfRule type="expression" dxfId="8585" priority="3451">
      <formula>$C11&lt;$E$3</formula>
    </cfRule>
  </conditionalFormatting>
  <conditionalFormatting sqref="H11">
    <cfRule type="expression" dxfId="8584" priority="3447">
      <formula>$C11=$E$3</formula>
    </cfRule>
    <cfRule type="expression" dxfId="8583" priority="3448">
      <formula>$C11&lt;$E$3</formula>
    </cfRule>
    <cfRule type="cellIs" dxfId="8582" priority="3449" operator="equal">
      <formula>0</formula>
    </cfRule>
    <cfRule type="expression" dxfId="8581" priority="3450">
      <formula>$C11&gt;$E$3</formula>
    </cfRule>
  </conditionalFormatting>
  <conditionalFormatting sqref="H11">
    <cfRule type="expression" dxfId="8580" priority="3446">
      <formula>$C11&lt;$E$3</formula>
    </cfRule>
  </conditionalFormatting>
  <conditionalFormatting sqref="H11">
    <cfRule type="expression" dxfId="8579" priority="3442">
      <formula>$C11=$E$3</formula>
    </cfRule>
    <cfRule type="expression" dxfId="8578" priority="3443">
      <formula>$C11&lt;$E$3</formula>
    </cfRule>
    <cfRule type="cellIs" dxfId="8577" priority="3444" operator="equal">
      <formula>0</formula>
    </cfRule>
    <cfRule type="expression" dxfId="8576" priority="3445">
      <formula>$C11&gt;$E$3</formula>
    </cfRule>
  </conditionalFormatting>
  <conditionalFormatting sqref="H11">
    <cfRule type="expression" dxfId="8575" priority="3441">
      <formula>$E11=""</formula>
    </cfRule>
  </conditionalFormatting>
  <conditionalFormatting sqref="H11">
    <cfRule type="expression" dxfId="8574" priority="3440">
      <formula>$C11&lt;$E$3</formula>
    </cfRule>
  </conditionalFormatting>
  <conditionalFormatting sqref="H11">
    <cfRule type="expression" dxfId="8573" priority="3439">
      <formula>$E11=""</formula>
    </cfRule>
  </conditionalFormatting>
  <conditionalFormatting sqref="H11">
    <cfRule type="expression" dxfId="8572" priority="3438">
      <formula>$E11=""</formula>
    </cfRule>
  </conditionalFormatting>
  <conditionalFormatting sqref="H11">
    <cfRule type="expression" dxfId="8571" priority="3437">
      <formula>$C11&lt;$E$3</formula>
    </cfRule>
  </conditionalFormatting>
  <conditionalFormatting sqref="H11">
    <cfRule type="expression" dxfId="8570" priority="3436">
      <formula>$E11=""</formula>
    </cfRule>
  </conditionalFormatting>
  <conditionalFormatting sqref="H11">
    <cfRule type="expression" dxfId="8569" priority="3435">
      <formula>$C11&lt;$E$3</formula>
    </cfRule>
  </conditionalFormatting>
  <conditionalFormatting sqref="H11">
    <cfRule type="expression" dxfId="8568" priority="3434">
      <formula>$E11=""</formula>
    </cfRule>
  </conditionalFormatting>
  <conditionalFormatting sqref="H11">
    <cfRule type="expression" dxfId="8567" priority="3433">
      <formula>$C11&lt;$E$3</formula>
    </cfRule>
  </conditionalFormatting>
  <conditionalFormatting sqref="H11">
    <cfRule type="expression" dxfId="8566" priority="3432">
      <formula>$E11=""</formula>
    </cfRule>
  </conditionalFormatting>
  <conditionalFormatting sqref="F52:H52">
    <cfRule type="expression" dxfId="8565" priority="3839" stopIfTrue="1">
      <formula>$H$52=-1E-55</formula>
    </cfRule>
    <cfRule type="expression" dxfId="8564" priority="3840">
      <formula>$F52&gt;=$F53</formula>
    </cfRule>
  </conditionalFormatting>
  <conditionalFormatting sqref="K41:K45">
    <cfRule type="expression" dxfId="8563" priority="1590">
      <formula>$E41=""</formula>
    </cfRule>
  </conditionalFormatting>
  <conditionalFormatting sqref="H36:H37">
    <cfRule type="cellIs" dxfId="8562" priority="3255" stopIfTrue="1" operator="lessThan">
      <formula>0</formula>
    </cfRule>
  </conditionalFormatting>
  <conditionalFormatting sqref="H36:H37">
    <cfRule type="expression" dxfId="8561" priority="3259">
      <formula>$C36&lt;$E$3</formula>
    </cfRule>
  </conditionalFormatting>
  <conditionalFormatting sqref="H36:H37">
    <cfRule type="expression" dxfId="8560" priority="3256">
      <formula>$C36=$E$3</formula>
    </cfRule>
    <cfRule type="expression" dxfId="8559" priority="3257">
      <formula>$C36&lt;$E$3</formula>
    </cfRule>
    <cfRule type="cellIs" dxfId="8558" priority="3258" operator="equal">
      <formula>0</formula>
    </cfRule>
    <cfRule type="expression" dxfId="8557" priority="3260">
      <formula>$C36&gt;$E$3</formula>
    </cfRule>
  </conditionalFormatting>
  <conditionalFormatting sqref="H36:H37">
    <cfRule type="expression" dxfId="8556" priority="3254">
      <formula>$C36&lt;$E$3</formula>
    </cfRule>
  </conditionalFormatting>
  <conditionalFormatting sqref="H36:H37">
    <cfRule type="expression" dxfId="8555" priority="3250">
      <formula>$C36=$E$3</formula>
    </cfRule>
    <cfRule type="expression" dxfId="8554" priority="3251">
      <formula>$C36&lt;$E$3</formula>
    </cfRule>
    <cfRule type="cellIs" dxfId="8553" priority="3252" operator="equal">
      <formula>0</formula>
    </cfRule>
    <cfRule type="expression" dxfId="8552" priority="3253">
      <formula>$C36&gt;$E$3</formula>
    </cfRule>
  </conditionalFormatting>
  <conditionalFormatting sqref="H36:H37">
    <cfRule type="expression" dxfId="8551" priority="3249">
      <formula>$E36=""</formula>
    </cfRule>
  </conditionalFormatting>
  <conditionalFormatting sqref="H36">
    <cfRule type="expression" dxfId="8550" priority="3248">
      <formula>$E36=""</formula>
    </cfRule>
  </conditionalFormatting>
  <conditionalFormatting sqref="H36:H37">
    <cfRule type="expression" dxfId="8549" priority="3247">
      <formula>$C36&lt;$E$3</formula>
    </cfRule>
  </conditionalFormatting>
  <conditionalFormatting sqref="H36:H37">
    <cfRule type="expression" dxfId="8548" priority="3243">
      <formula>$C36=$E$3</formula>
    </cfRule>
    <cfRule type="expression" dxfId="8547" priority="3244">
      <formula>$C36&lt;$E$3</formula>
    </cfRule>
    <cfRule type="cellIs" dxfId="8546" priority="3245" operator="equal">
      <formula>0</formula>
    </cfRule>
    <cfRule type="expression" dxfId="8545" priority="3246">
      <formula>$C36&gt;$E$3</formula>
    </cfRule>
  </conditionalFormatting>
  <conditionalFormatting sqref="H36:H37">
    <cfRule type="expression" dxfId="8544" priority="3242">
      <formula>$C36&lt;$E$3</formula>
    </cfRule>
  </conditionalFormatting>
  <conditionalFormatting sqref="H36:H37">
    <cfRule type="expression" dxfId="8543" priority="3238">
      <formula>$C36=$E$3</formula>
    </cfRule>
    <cfRule type="expression" dxfId="8542" priority="3239">
      <formula>$C36&lt;$E$3</formula>
    </cfRule>
    <cfRule type="cellIs" dxfId="8541" priority="3240" operator="equal">
      <formula>0</formula>
    </cfRule>
    <cfRule type="expression" dxfId="8540" priority="3241">
      <formula>$C36&gt;$E$3</formula>
    </cfRule>
  </conditionalFormatting>
  <conditionalFormatting sqref="H36:H37">
    <cfRule type="expression" dxfId="8539" priority="3237">
      <formula>$E36=""</formula>
    </cfRule>
  </conditionalFormatting>
  <conditionalFormatting sqref="H36:H37">
    <cfRule type="expression" dxfId="8538" priority="3236">
      <formula>$C36&lt;$E$3</formula>
    </cfRule>
  </conditionalFormatting>
  <conditionalFormatting sqref="H36:H37">
    <cfRule type="expression" dxfId="8537" priority="3235">
      <formula>$E36=""</formula>
    </cfRule>
  </conditionalFormatting>
  <conditionalFormatting sqref="H36:H37">
    <cfRule type="expression" dxfId="8536" priority="3234">
      <formula>$E36=""</formula>
    </cfRule>
  </conditionalFormatting>
  <conditionalFormatting sqref="H36:H37">
    <cfRule type="expression" dxfId="8535" priority="3233">
      <formula>$C36&lt;$E$3</formula>
    </cfRule>
  </conditionalFormatting>
  <conditionalFormatting sqref="H36:H37">
    <cfRule type="expression" dxfId="8534" priority="3232">
      <formula>$E36=""</formula>
    </cfRule>
  </conditionalFormatting>
  <conditionalFormatting sqref="H36:H37">
    <cfRule type="expression" dxfId="8533" priority="3231">
      <formula>$C36&lt;$E$3</formula>
    </cfRule>
  </conditionalFormatting>
  <conditionalFormatting sqref="H36:H37">
    <cfRule type="expression" dxfId="8532" priority="3230">
      <formula>$E36=""</formula>
    </cfRule>
  </conditionalFormatting>
  <conditionalFormatting sqref="H36:H37">
    <cfRule type="expression" dxfId="8531" priority="3229">
      <formula>$C36&lt;$E$3</formula>
    </cfRule>
  </conditionalFormatting>
  <conditionalFormatting sqref="H36:H37">
    <cfRule type="expression" dxfId="8530" priority="3228">
      <formula>$E36=""</formula>
    </cfRule>
  </conditionalFormatting>
  <conditionalFormatting sqref="K5:K9">
    <cfRule type="expression" dxfId="8529" priority="2298">
      <formula>$E5=""</formula>
    </cfRule>
  </conditionalFormatting>
  <conditionalFormatting sqref="K5:K9">
    <cfRule type="expression" dxfId="8528" priority="2296">
      <formula>$E5=""</formula>
    </cfRule>
  </conditionalFormatting>
  <conditionalFormatting sqref="K5:K9">
    <cfRule type="expression" dxfId="8527" priority="2290">
      <formula>$C5&lt;$E$3</formula>
    </cfRule>
  </conditionalFormatting>
  <conditionalFormatting sqref="K5:K9">
    <cfRule type="expression" dxfId="8526" priority="2267">
      <formula>$C5&lt;$E$3</formula>
    </cfRule>
  </conditionalFormatting>
  <conditionalFormatting sqref="K5:K9">
    <cfRule type="expression" dxfId="8525" priority="2260">
      <formula>$C5&lt;$E$3</formula>
    </cfRule>
  </conditionalFormatting>
  <conditionalFormatting sqref="K50:K51">
    <cfRule type="expression" dxfId="8524" priority="2245">
      <formula>$E50=""</formula>
    </cfRule>
  </conditionalFormatting>
  <conditionalFormatting sqref="K50:K51">
    <cfRule type="expression" dxfId="8523" priority="2214">
      <formula>$C50&lt;$E$3</formula>
    </cfRule>
  </conditionalFormatting>
  <conditionalFormatting sqref="K50:K51">
    <cfRule type="expression" dxfId="8522" priority="2205">
      <formula>$C50&lt;$E$3</formula>
    </cfRule>
  </conditionalFormatting>
  <conditionalFormatting sqref="K50:K51">
    <cfRule type="expression" dxfId="8521" priority="2184">
      <formula>$C50&lt;$E$3</formula>
    </cfRule>
  </conditionalFormatting>
  <conditionalFormatting sqref="J41:J47 L41:M47 M14:M20 L36:M38 M32:M35 J36:J38 M23:M29">
    <cfRule type="expression" dxfId="8520" priority="2158">
      <formula>$C14&lt;$E$3</formula>
    </cfRule>
  </conditionalFormatting>
  <conditionalFormatting sqref="M14:M20 M32:M38 M41:M47 M23:M29">
    <cfRule type="expression" dxfId="8519" priority="2130">
      <formula>$C14&lt;$E$3</formula>
    </cfRule>
  </conditionalFormatting>
  <conditionalFormatting sqref="M14:M20 M32:M38 M41:M47 M23:M29">
    <cfRule type="expression" dxfId="8518" priority="2123">
      <formula>$C14&lt;$E$3</formula>
    </cfRule>
  </conditionalFormatting>
  <conditionalFormatting sqref="M14:M20 M32:M38 M41:M47 M23:M29">
    <cfRule type="expression" dxfId="8517" priority="2100">
      <formula>$C14&lt;$E$3</formula>
    </cfRule>
  </conditionalFormatting>
  <conditionalFormatting sqref="M14:M20 M32:M38 M41:M47 M23:M29">
    <cfRule type="expression" dxfId="8516" priority="2093">
      <formula>$C14&lt;$E$3</formula>
    </cfRule>
  </conditionalFormatting>
  <conditionalFormatting sqref="K37">
    <cfRule type="expression" dxfId="8515" priority="1779">
      <formula>$C37&lt;$E$3</formula>
    </cfRule>
  </conditionalFormatting>
  <conditionalFormatting sqref="K36">
    <cfRule type="expression" dxfId="8514" priority="1747">
      <formula>$C36&lt;$E$3</formula>
    </cfRule>
  </conditionalFormatting>
  <conditionalFormatting sqref="K36">
    <cfRule type="expression" dxfId="8513" priority="1743">
      <formula>$C36=$E$3</formula>
    </cfRule>
    <cfRule type="expression" dxfId="8512" priority="1744">
      <formula>$C36&lt;$E$3</formula>
    </cfRule>
    <cfRule type="cellIs" dxfId="8511" priority="1745" operator="equal">
      <formula>0</formula>
    </cfRule>
    <cfRule type="expression" dxfId="8510" priority="1746">
      <formula>$C36&gt;$E$3</formula>
    </cfRule>
  </conditionalFormatting>
  <conditionalFormatting sqref="K36">
    <cfRule type="expression" dxfId="8509" priority="1742">
      <formula>$C36&lt;$E$3</formula>
    </cfRule>
  </conditionalFormatting>
  <conditionalFormatting sqref="K36">
    <cfRule type="expression" dxfId="8508" priority="1738">
      <formula>$C36=$E$3</formula>
    </cfRule>
    <cfRule type="expression" dxfId="8507" priority="1739">
      <formula>$C36&lt;$E$3</formula>
    </cfRule>
    <cfRule type="cellIs" dxfId="8506" priority="1740" operator="equal">
      <formula>0</formula>
    </cfRule>
    <cfRule type="expression" dxfId="8505" priority="1741">
      <formula>$C36&gt;$E$3</formula>
    </cfRule>
  </conditionalFormatting>
  <conditionalFormatting sqref="K36">
    <cfRule type="expression" dxfId="8504" priority="1737">
      <formula>$C36&lt;$E$3</formula>
    </cfRule>
  </conditionalFormatting>
  <conditionalFormatting sqref="K36">
    <cfRule type="expression" dxfId="8503" priority="1733">
      <formula>$C36=$E$3</formula>
    </cfRule>
    <cfRule type="expression" dxfId="8502" priority="1734">
      <formula>$C36&lt;$E$3</formula>
    </cfRule>
    <cfRule type="cellIs" dxfId="8501" priority="1735" operator="equal">
      <formula>0</formula>
    </cfRule>
    <cfRule type="expression" dxfId="8500" priority="1736">
      <formula>$C36&gt;$E$3</formula>
    </cfRule>
  </conditionalFormatting>
  <conditionalFormatting sqref="K36">
    <cfRule type="expression" dxfId="8499" priority="1732">
      <formula>$C36&lt;$E$3</formula>
    </cfRule>
  </conditionalFormatting>
  <conditionalFormatting sqref="K36">
    <cfRule type="expression" dxfId="8498" priority="1728">
      <formula>$C36=$E$3</formula>
    </cfRule>
    <cfRule type="expression" dxfId="8497" priority="1729">
      <formula>$C36&lt;$E$3</formula>
    </cfRule>
    <cfRule type="cellIs" dxfId="8496" priority="1730" operator="equal">
      <formula>0</formula>
    </cfRule>
    <cfRule type="expression" dxfId="8495" priority="1731">
      <formula>$C36&gt;$E$3</formula>
    </cfRule>
  </conditionalFormatting>
  <conditionalFormatting sqref="K36">
    <cfRule type="expression" dxfId="8494" priority="1727">
      <formula>$E36=""</formula>
    </cfRule>
  </conditionalFormatting>
  <conditionalFormatting sqref="K36">
    <cfRule type="expression" dxfId="8493" priority="1726">
      <formula>$C36&lt;$E$3</formula>
    </cfRule>
  </conditionalFormatting>
  <conditionalFormatting sqref="K36">
    <cfRule type="expression" dxfId="8492" priority="1725">
      <formula>$E36=""</formula>
    </cfRule>
  </conditionalFormatting>
  <conditionalFormatting sqref="K36">
    <cfRule type="expression" dxfId="8491" priority="1724">
      <formula>$E36=""</formula>
    </cfRule>
  </conditionalFormatting>
  <conditionalFormatting sqref="K36">
    <cfRule type="expression" dxfId="8490" priority="1723">
      <formula>$C36&lt;$E$3</formula>
    </cfRule>
  </conditionalFormatting>
  <conditionalFormatting sqref="K36">
    <cfRule type="expression" dxfId="8489" priority="1722">
      <formula>$E36=""</formula>
    </cfRule>
  </conditionalFormatting>
  <conditionalFormatting sqref="K36">
    <cfRule type="expression" dxfId="8488" priority="1721">
      <formula>$C36&lt;$E$3</formula>
    </cfRule>
  </conditionalFormatting>
  <conditionalFormatting sqref="K36">
    <cfRule type="expression" dxfId="8487" priority="1720">
      <formula>$E36=""</formula>
    </cfRule>
  </conditionalFormatting>
  <conditionalFormatting sqref="K36">
    <cfRule type="expression" dxfId="8486" priority="1719">
      <formula>$C36&lt;$E$3</formula>
    </cfRule>
  </conditionalFormatting>
  <conditionalFormatting sqref="K36">
    <cfRule type="expression" dxfId="8485" priority="1718">
      <formula>$E36=""</formula>
    </cfRule>
  </conditionalFormatting>
  <conditionalFormatting sqref="K36">
    <cfRule type="expression" dxfId="8484" priority="1717">
      <formula>$C36&lt;$E$3</formula>
    </cfRule>
  </conditionalFormatting>
  <conditionalFormatting sqref="K36">
    <cfRule type="expression" dxfId="8483" priority="1713">
      <formula>$C36=$E$3</formula>
    </cfRule>
    <cfRule type="expression" dxfId="8482" priority="1714">
      <formula>$C36&lt;$E$3</formula>
    </cfRule>
    <cfRule type="cellIs" dxfId="8481" priority="1715" operator="equal">
      <formula>0</formula>
    </cfRule>
    <cfRule type="expression" dxfId="8480" priority="1716">
      <formula>$C36&gt;$E$3</formula>
    </cfRule>
  </conditionalFormatting>
  <conditionalFormatting sqref="K36">
    <cfRule type="expression" dxfId="8479" priority="1712">
      <formula>$C36&lt;$E$3</formula>
    </cfRule>
  </conditionalFormatting>
  <conditionalFormatting sqref="K36">
    <cfRule type="expression" dxfId="8478" priority="1708">
      <formula>$C36=$E$3</formula>
    </cfRule>
    <cfRule type="expression" dxfId="8477" priority="1709">
      <formula>$C36&lt;$E$3</formula>
    </cfRule>
    <cfRule type="cellIs" dxfId="8476" priority="1710" operator="equal">
      <formula>0</formula>
    </cfRule>
    <cfRule type="expression" dxfId="8475" priority="1711">
      <formula>$C36&gt;$E$3</formula>
    </cfRule>
  </conditionalFormatting>
  <conditionalFormatting sqref="K36">
    <cfRule type="expression" dxfId="8474" priority="1707">
      <formula>$C36&lt;$E$3</formula>
    </cfRule>
  </conditionalFormatting>
  <conditionalFormatting sqref="K36">
    <cfRule type="expression" dxfId="8473" priority="1703">
      <formula>$C36=$E$3</formula>
    </cfRule>
    <cfRule type="expression" dxfId="8472" priority="1704">
      <formula>$C36&lt;$E$3</formula>
    </cfRule>
    <cfRule type="cellIs" dxfId="8471" priority="1705" operator="equal">
      <formula>0</formula>
    </cfRule>
    <cfRule type="expression" dxfId="8470" priority="1706">
      <formula>$C36&gt;$E$3</formula>
    </cfRule>
  </conditionalFormatting>
  <conditionalFormatting sqref="K36">
    <cfRule type="expression" dxfId="8469" priority="1702">
      <formula>$C36&lt;$E$3</formula>
    </cfRule>
  </conditionalFormatting>
  <conditionalFormatting sqref="K36">
    <cfRule type="expression" dxfId="8468" priority="1698">
      <formula>$C36=$E$3</formula>
    </cfRule>
    <cfRule type="expression" dxfId="8467" priority="1699">
      <formula>$C36&lt;$E$3</formula>
    </cfRule>
    <cfRule type="cellIs" dxfId="8466" priority="1700" operator="equal">
      <formula>0</formula>
    </cfRule>
    <cfRule type="expression" dxfId="8465" priority="1701">
      <formula>$C36&gt;$E$3</formula>
    </cfRule>
  </conditionalFormatting>
  <conditionalFormatting sqref="K36">
    <cfRule type="expression" dxfId="8464" priority="1697">
      <formula>$E36=""</formula>
    </cfRule>
  </conditionalFormatting>
  <conditionalFormatting sqref="K36">
    <cfRule type="expression" dxfId="8463" priority="1696">
      <formula>$C36&lt;$E$3</formula>
    </cfRule>
  </conditionalFormatting>
  <conditionalFormatting sqref="K36">
    <cfRule type="expression" dxfId="8462" priority="1695">
      <formula>$E36=""</formula>
    </cfRule>
  </conditionalFormatting>
  <conditionalFormatting sqref="K36">
    <cfRule type="expression" dxfId="8461" priority="1694">
      <formula>$E36=""</formula>
    </cfRule>
  </conditionalFormatting>
  <conditionalFormatting sqref="K36">
    <cfRule type="expression" dxfId="8460" priority="1693">
      <formula>$C36&lt;$E$3</formula>
    </cfRule>
  </conditionalFormatting>
  <conditionalFormatting sqref="K36">
    <cfRule type="expression" dxfId="8459" priority="1692">
      <formula>$E36=""</formula>
    </cfRule>
  </conditionalFormatting>
  <conditionalFormatting sqref="K36">
    <cfRule type="expression" dxfId="8458" priority="1691">
      <formula>$C36&lt;$E$3</formula>
    </cfRule>
  </conditionalFormatting>
  <conditionalFormatting sqref="K36">
    <cfRule type="expression" dxfId="8457" priority="1690">
      <formula>$E36=""</formula>
    </cfRule>
  </conditionalFormatting>
  <conditionalFormatting sqref="K36">
    <cfRule type="expression" dxfId="8456" priority="1689">
      <formula>$C36&lt;$E$3</formula>
    </cfRule>
  </conditionalFormatting>
  <conditionalFormatting sqref="K36">
    <cfRule type="expression" dxfId="8455" priority="1688">
      <formula>$E36=""</formula>
    </cfRule>
  </conditionalFormatting>
  <conditionalFormatting sqref="K41:K47">
    <cfRule type="expression" dxfId="8454" priority="1677">
      <formula>$C41&lt;$E$3</formula>
    </cfRule>
  </conditionalFormatting>
  <conditionalFormatting sqref="K46">
    <cfRule type="expression" dxfId="8453" priority="1642">
      <formula>$C46&lt;$E$3</formula>
    </cfRule>
  </conditionalFormatting>
  <conditionalFormatting sqref="K41:K45">
    <cfRule type="expression" dxfId="8452" priority="1610">
      <formula>$C41&lt;$E$3</formula>
    </cfRule>
  </conditionalFormatting>
  <conditionalFormatting sqref="K41:K45">
    <cfRule type="expression" dxfId="8451" priority="1606">
      <formula>$C41=$E$3</formula>
    </cfRule>
    <cfRule type="expression" dxfId="8450" priority="1607">
      <formula>$C41&lt;$E$3</formula>
    </cfRule>
    <cfRule type="cellIs" dxfId="8449" priority="1608" operator="equal">
      <formula>0</formula>
    </cfRule>
    <cfRule type="expression" dxfId="8448" priority="1609">
      <formula>$C41&gt;$E$3</formula>
    </cfRule>
  </conditionalFormatting>
  <conditionalFormatting sqref="K41:K45">
    <cfRule type="expression" dxfId="8447" priority="1605">
      <formula>$C41&lt;$E$3</formula>
    </cfRule>
  </conditionalFormatting>
  <conditionalFormatting sqref="K41:K45">
    <cfRule type="expression" dxfId="8446" priority="1601">
      <formula>$C41=$E$3</formula>
    </cfRule>
    <cfRule type="expression" dxfId="8445" priority="1602">
      <formula>$C41&lt;$E$3</formula>
    </cfRule>
    <cfRule type="cellIs" dxfId="8444" priority="1603" operator="equal">
      <formula>0</formula>
    </cfRule>
    <cfRule type="expression" dxfId="8443" priority="1604">
      <formula>$C41&gt;$E$3</formula>
    </cfRule>
  </conditionalFormatting>
  <conditionalFormatting sqref="K41:K45">
    <cfRule type="expression" dxfId="8442" priority="1600">
      <formula>$C41&lt;$E$3</formula>
    </cfRule>
  </conditionalFormatting>
  <conditionalFormatting sqref="K41:K45">
    <cfRule type="expression" dxfId="8441" priority="1596">
      <formula>$C41=$E$3</formula>
    </cfRule>
    <cfRule type="expression" dxfId="8440" priority="1597">
      <formula>$C41&lt;$E$3</formula>
    </cfRule>
    <cfRule type="cellIs" dxfId="8439" priority="1598" operator="equal">
      <formula>0</formula>
    </cfRule>
    <cfRule type="expression" dxfId="8438" priority="1599">
      <formula>$C41&gt;$E$3</formula>
    </cfRule>
  </conditionalFormatting>
  <conditionalFormatting sqref="K41:K45">
    <cfRule type="expression" dxfId="8437" priority="1595">
      <formula>$C41&lt;$E$3</formula>
    </cfRule>
  </conditionalFormatting>
  <conditionalFormatting sqref="K41:K45">
    <cfRule type="expression" dxfId="8436" priority="1591">
      <formula>$C41=$E$3</formula>
    </cfRule>
    <cfRule type="expression" dxfId="8435" priority="1592">
      <formula>$C41&lt;$E$3</formula>
    </cfRule>
    <cfRule type="cellIs" dxfId="8434" priority="1593" operator="equal">
      <formula>0</formula>
    </cfRule>
    <cfRule type="expression" dxfId="8433" priority="1594">
      <formula>$C41&gt;$E$3</formula>
    </cfRule>
  </conditionalFormatting>
  <conditionalFormatting sqref="K41:K45">
    <cfRule type="expression" dxfId="8432" priority="1589">
      <formula>$C41&lt;$E$3</formula>
    </cfRule>
  </conditionalFormatting>
  <conditionalFormatting sqref="K41:K45">
    <cfRule type="expression" dxfId="8431" priority="1588">
      <formula>$E41=""</formula>
    </cfRule>
  </conditionalFormatting>
  <conditionalFormatting sqref="K41:K45">
    <cfRule type="expression" dxfId="8430" priority="1587">
      <formula>$E41=""</formula>
    </cfRule>
  </conditionalFormatting>
  <conditionalFormatting sqref="K41:K45">
    <cfRule type="expression" dxfId="8429" priority="1586">
      <formula>$C41&lt;$E$3</formula>
    </cfRule>
  </conditionalFormatting>
  <conditionalFormatting sqref="K41:K45">
    <cfRule type="expression" dxfId="8428" priority="1585">
      <formula>$E41=""</formula>
    </cfRule>
  </conditionalFormatting>
  <conditionalFormatting sqref="K41:K45">
    <cfRule type="expression" dxfId="8427" priority="1584">
      <formula>$C41&lt;$E$3</formula>
    </cfRule>
  </conditionalFormatting>
  <conditionalFormatting sqref="K41:K45">
    <cfRule type="expression" dxfId="8426" priority="1583">
      <formula>$E41=""</formula>
    </cfRule>
  </conditionalFormatting>
  <conditionalFormatting sqref="K41:K45">
    <cfRule type="expression" dxfId="8425" priority="1582">
      <formula>$C41&lt;$E$3</formula>
    </cfRule>
  </conditionalFormatting>
  <conditionalFormatting sqref="K41:K45">
    <cfRule type="expression" dxfId="8424" priority="1581">
      <formula>$E41=""</formula>
    </cfRule>
  </conditionalFormatting>
  <conditionalFormatting sqref="K41:K45">
    <cfRule type="expression" dxfId="8423" priority="1580">
      <formula>$C41&lt;$E$3</formula>
    </cfRule>
  </conditionalFormatting>
  <conditionalFormatting sqref="K41:K45">
    <cfRule type="expression" dxfId="8422" priority="1576">
      <formula>$C41=$E$3</formula>
    </cfRule>
    <cfRule type="expression" dxfId="8421" priority="1577">
      <formula>$C41&lt;$E$3</formula>
    </cfRule>
    <cfRule type="cellIs" dxfId="8420" priority="1578" operator="equal">
      <formula>0</formula>
    </cfRule>
    <cfRule type="expression" dxfId="8419" priority="1579">
      <formula>$C41&gt;$E$3</formula>
    </cfRule>
  </conditionalFormatting>
  <conditionalFormatting sqref="K41:K45">
    <cfRule type="expression" dxfId="8418" priority="1575">
      <formula>$C41&lt;$E$3</formula>
    </cfRule>
  </conditionalFormatting>
  <conditionalFormatting sqref="K41:K45">
    <cfRule type="expression" dxfId="8417" priority="1571">
      <formula>$C41=$E$3</formula>
    </cfRule>
    <cfRule type="expression" dxfId="8416" priority="1572">
      <formula>$C41&lt;$E$3</formula>
    </cfRule>
    <cfRule type="cellIs" dxfId="8415" priority="1573" operator="equal">
      <formula>0</formula>
    </cfRule>
    <cfRule type="expression" dxfId="8414" priority="1574">
      <formula>$C41&gt;$E$3</formula>
    </cfRule>
  </conditionalFormatting>
  <conditionalFormatting sqref="K41:K45">
    <cfRule type="expression" dxfId="8413" priority="1570">
      <formula>$C41&lt;$E$3</formula>
    </cfRule>
  </conditionalFormatting>
  <conditionalFormatting sqref="K41:K45">
    <cfRule type="expression" dxfId="8412" priority="1566">
      <formula>$C41=$E$3</formula>
    </cfRule>
    <cfRule type="expression" dxfId="8411" priority="1567">
      <formula>$C41&lt;$E$3</formula>
    </cfRule>
    <cfRule type="cellIs" dxfId="8410" priority="1568" operator="equal">
      <formula>0</formula>
    </cfRule>
    <cfRule type="expression" dxfId="8409" priority="1569">
      <formula>$C41&gt;$E$3</formula>
    </cfRule>
  </conditionalFormatting>
  <conditionalFormatting sqref="K41:K45">
    <cfRule type="expression" dxfId="8408" priority="1565">
      <formula>$C41&lt;$E$3</formula>
    </cfRule>
  </conditionalFormatting>
  <conditionalFormatting sqref="K41:K45">
    <cfRule type="expression" dxfId="8407" priority="1561">
      <formula>$C41=$E$3</formula>
    </cfRule>
    <cfRule type="expression" dxfId="8406" priority="1562">
      <formula>$C41&lt;$E$3</formula>
    </cfRule>
    <cfRule type="cellIs" dxfId="8405" priority="1563" operator="equal">
      <formula>0</formula>
    </cfRule>
    <cfRule type="expression" dxfId="8404" priority="1564">
      <formula>$C41&gt;$E$3</formula>
    </cfRule>
  </conditionalFormatting>
  <conditionalFormatting sqref="K41:K45">
    <cfRule type="expression" dxfId="8403" priority="1560">
      <formula>$E41=""</formula>
    </cfRule>
  </conditionalFormatting>
  <conditionalFormatting sqref="K41:K45">
    <cfRule type="expression" dxfId="8402" priority="1559">
      <formula>$C41&lt;$E$3</formula>
    </cfRule>
  </conditionalFormatting>
  <conditionalFormatting sqref="K41:K45">
    <cfRule type="expression" dxfId="8401" priority="1558">
      <formula>$E41=""</formula>
    </cfRule>
  </conditionalFormatting>
  <conditionalFormatting sqref="K41:K45">
    <cfRule type="expression" dxfId="8400" priority="1557">
      <formula>$E41=""</formula>
    </cfRule>
  </conditionalFormatting>
  <conditionalFormatting sqref="K41:K45">
    <cfRule type="expression" dxfId="8399" priority="1556">
      <formula>$C41&lt;$E$3</formula>
    </cfRule>
  </conditionalFormatting>
  <conditionalFormatting sqref="K41:K45">
    <cfRule type="expression" dxfId="8398" priority="1555">
      <formula>$E41=""</formula>
    </cfRule>
  </conditionalFormatting>
  <conditionalFormatting sqref="K41:K45">
    <cfRule type="expression" dxfId="8397" priority="1554">
      <formula>$C41&lt;$E$3</formula>
    </cfRule>
  </conditionalFormatting>
  <conditionalFormatting sqref="K41:K45">
    <cfRule type="expression" dxfId="8396" priority="1553">
      <formula>$E41=""</formula>
    </cfRule>
  </conditionalFormatting>
  <conditionalFormatting sqref="K41:K45">
    <cfRule type="expression" dxfId="8395" priority="1552">
      <formula>$C41&lt;$E$3</formula>
    </cfRule>
  </conditionalFormatting>
  <conditionalFormatting sqref="K41:K45">
    <cfRule type="expression" dxfId="8394" priority="1551">
      <formula>$E41=""</formula>
    </cfRule>
  </conditionalFormatting>
  <conditionalFormatting sqref="K41:K47">
    <cfRule type="expression" dxfId="8393" priority="1549">
      <formula>$C41&lt;$E$3</formula>
    </cfRule>
  </conditionalFormatting>
  <conditionalFormatting sqref="K41:K47">
    <cfRule type="expression" dxfId="8392" priority="1546">
      <formula>$C41=$E$3</formula>
    </cfRule>
    <cfRule type="expression" dxfId="8391" priority="1547">
      <formula>$C41&lt;$E$3</formula>
    </cfRule>
    <cfRule type="cellIs" dxfId="8390" priority="1548" operator="equal">
      <formula>0</formula>
    </cfRule>
    <cfRule type="expression" dxfId="8389" priority="1550">
      <formula>$C41&gt;$E$3</formula>
    </cfRule>
  </conditionalFormatting>
  <conditionalFormatting sqref="K41:K47">
    <cfRule type="expression" dxfId="8388" priority="1545">
      <formula>$E41=""</formula>
    </cfRule>
  </conditionalFormatting>
  <conditionalFormatting sqref="K41:K47">
    <cfRule type="expression" dxfId="8387" priority="1544">
      <formula>$E41=""</formula>
    </cfRule>
  </conditionalFormatting>
  <conditionalFormatting sqref="K41:K47">
    <cfRule type="expression" dxfId="8386" priority="1543">
      <formula>$E41=""</formula>
    </cfRule>
  </conditionalFormatting>
  <conditionalFormatting sqref="V50:W51 V5:W20 V23:W29 V32:W38 V41:W47">
    <cfRule type="cellIs" dxfId="8385" priority="2462" stopIfTrue="1" operator="lessThan">
      <formula>0</formula>
    </cfRule>
  </conditionalFormatting>
  <conditionalFormatting sqref="Q4:Q51 R5:R11 R14:R20 R23:R29 R32:R38 R41:R47 R50:R51 T50:U51 T41:U47 T32:U38 T23:U29 T14:U20 T5:U11">
    <cfRule type="cellIs" dxfId="8384" priority="2463" stopIfTrue="1" operator="lessThan">
      <formula>0</formula>
    </cfRule>
  </conditionalFormatting>
  <conditionalFormatting sqref="N41:N47">
    <cfRule type="cellIs" dxfId="8383" priority="1539" stopIfTrue="1" operator="lessThan">
      <formula>0</formula>
    </cfRule>
  </conditionalFormatting>
  <conditionalFormatting sqref="N29">
    <cfRule type="cellIs" dxfId="8382" priority="1538" stopIfTrue="1" operator="lessThan">
      <formula>0</formula>
    </cfRule>
  </conditionalFormatting>
  <conditionalFormatting sqref="N25">
    <cfRule type="cellIs" dxfId="8381" priority="1537" stopIfTrue="1" operator="lessThan">
      <formula>0</formula>
    </cfRule>
  </conditionalFormatting>
  <conditionalFormatting sqref="N26">
    <cfRule type="cellIs" dxfId="8380" priority="1536" stopIfTrue="1" operator="lessThan">
      <formula>0</formula>
    </cfRule>
  </conditionalFormatting>
  <conditionalFormatting sqref="N24">
    <cfRule type="cellIs" dxfId="8379" priority="1535" stopIfTrue="1" operator="lessThan">
      <formula>0</formula>
    </cfRule>
  </conditionalFormatting>
  <conditionalFormatting sqref="K5:K11 K50:K51">
    <cfRule type="cellIs" dxfId="8378" priority="2456" stopIfTrue="1" operator="lessThan">
      <formula>0</formula>
    </cfRule>
  </conditionalFormatting>
  <conditionalFormatting sqref="K5:K11 K50:K51">
    <cfRule type="expression" dxfId="8377" priority="2454">
      <formula>$C5&lt;$E$3</formula>
    </cfRule>
  </conditionalFormatting>
  <conditionalFormatting sqref="K5:K11 K50:K51">
    <cfRule type="expression" dxfId="8376" priority="2451">
      <formula>$C5=$E$3</formula>
    </cfRule>
    <cfRule type="expression" dxfId="8375" priority="2452">
      <formula>$C5&lt;$E$3</formula>
    </cfRule>
    <cfRule type="cellIs" dxfId="8374" priority="2453" operator="equal">
      <formula>0</formula>
    </cfRule>
    <cfRule type="expression" dxfId="8373" priority="2455">
      <formula>$C5&gt;$E$3</formula>
    </cfRule>
  </conditionalFormatting>
  <conditionalFormatting sqref="K5:K11 K50:K51">
    <cfRule type="expression" dxfId="8372" priority="2450">
      <formula>$E5=""</formula>
    </cfRule>
  </conditionalFormatting>
  <conditionalFormatting sqref="K5:K11 K50:K51">
    <cfRule type="expression" dxfId="8371" priority="2449">
      <formula>$E5=""</formula>
    </cfRule>
  </conditionalFormatting>
  <conditionalFormatting sqref="K5:K11 K50:K51">
    <cfRule type="expression" dxfId="8370" priority="2448">
      <formula>$E5=""</formula>
    </cfRule>
  </conditionalFormatting>
  <conditionalFormatting sqref="J50:J51 L5:M11 L50:N51 J5:J11">
    <cfRule type="cellIs" dxfId="8369" priority="2447" stopIfTrue="1" operator="lessThan">
      <formula>0</formula>
    </cfRule>
  </conditionalFormatting>
  <conditionalFormatting sqref="J50:J51 L5:M11 L50:M51 J5:J11">
    <cfRule type="expression" dxfId="8368" priority="2445">
      <formula>$C5&lt;$E$3</formula>
    </cfRule>
  </conditionalFormatting>
  <conditionalFormatting sqref="J50:J51 L5:M11 L50:M51 J5:J11">
    <cfRule type="expression" dxfId="8367" priority="2442">
      <formula>$C5=$E$3</formula>
    </cfRule>
    <cfRule type="expression" dxfId="8366" priority="2443">
      <formula>$C5&lt;$E$3</formula>
    </cfRule>
    <cfRule type="cellIs" dxfId="8365" priority="2444" operator="equal">
      <formula>0</formula>
    </cfRule>
    <cfRule type="expression" dxfId="8364" priority="2446">
      <formula>$C5&gt;$E$3</formula>
    </cfRule>
  </conditionalFormatting>
  <conditionalFormatting sqref="J50:J51 L5:M11 L50:M51 J5:J11">
    <cfRule type="expression" dxfId="8363" priority="2441">
      <formula>$E5=""</formula>
    </cfRule>
  </conditionalFormatting>
  <conditionalFormatting sqref="J50:J51 L5:M11 L50:M51 J5:J11">
    <cfRule type="expression" dxfId="8362" priority="2440">
      <formula>$E5=""</formula>
    </cfRule>
  </conditionalFormatting>
  <conditionalFormatting sqref="J50:J51 L5:M11 L50:M51 J5:J11">
    <cfRule type="expression" dxfId="8361" priority="2439">
      <formula>$E5=""</formula>
    </cfRule>
  </conditionalFormatting>
  <conditionalFormatting sqref="M5:M11 M50:M51">
    <cfRule type="expression" dxfId="8360" priority="2438">
      <formula>$C5&lt;$E$3</formula>
    </cfRule>
  </conditionalFormatting>
  <conditionalFormatting sqref="M5:M11 M50:M51">
    <cfRule type="expression" dxfId="8359" priority="2434">
      <formula>$C5=$E$3</formula>
    </cfRule>
    <cfRule type="expression" dxfId="8358" priority="2435">
      <formula>$C5&lt;$E$3</formula>
    </cfRule>
    <cfRule type="cellIs" dxfId="8357" priority="2436" operator="equal">
      <formula>0</formula>
    </cfRule>
    <cfRule type="expression" dxfId="8356" priority="2437">
      <formula>$C5&gt;$E$3</formula>
    </cfRule>
  </conditionalFormatting>
  <conditionalFormatting sqref="M5:M11 M50:M51">
    <cfRule type="expression" dxfId="8355" priority="2433">
      <formula>$C5&lt;$E$3</formula>
    </cfRule>
  </conditionalFormatting>
  <conditionalFormatting sqref="M5:M11 M50:M51">
    <cfRule type="expression" dxfId="8354" priority="2429">
      <formula>$C5=$E$3</formula>
    </cfRule>
    <cfRule type="expression" dxfId="8353" priority="2430">
      <formula>$C5&lt;$E$3</formula>
    </cfRule>
    <cfRule type="cellIs" dxfId="8352" priority="2431" operator="equal">
      <formula>0</formula>
    </cfRule>
    <cfRule type="expression" dxfId="8351" priority="2432">
      <formula>$C5&gt;$E$3</formula>
    </cfRule>
  </conditionalFormatting>
  <conditionalFormatting sqref="M5:M11 M50:M51">
    <cfRule type="expression" dxfId="8350" priority="2428">
      <formula>$C5&lt;$E$3</formula>
    </cfRule>
  </conditionalFormatting>
  <conditionalFormatting sqref="M5:M11 M50:M51">
    <cfRule type="expression" dxfId="8349" priority="2424">
      <formula>$C5=$E$3</formula>
    </cfRule>
    <cfRule type="expression" dxfId="8348" priority="2425">
      <formula>$C5&lt;$E$3</formula>
    </cfRule>
    <cfRule type="cellIs" dxfId="8347" priority="2426" operator="equal">
      <formula>0</formula>
    </cfRule>
    <cfRule type="expression" dxfId="8346" priority="2427">
      <formula>$C5&gt;$E$3</formula>
    </cfRule>
  </conditionalFormatting>
  <conditionalFormatting sqref="M5:M11 M50:M51">
    <cfRule type="expression" dxfId="8345" priority="2423">
      <formula>$C5&lt;$E$3</formula>
    </cfRule>
  </conditionalFormatting>
  <conditionalFormatting sqref="M5:M11 M50:M51">
    <cfRule type="expression" dxfId="8344" priority="2419">
      <formula>$C5=$E$3</formula>
    </cfRule>
    <cfRule type="expression" dxfId="8343" priority="2420">
      <formula>$C5&lt;$E$3</formula>
    </cfRule>
    <cfRule type="cellIs" dxfId="8342" priority="2421" operator="equal">
      <formula>0</formula>
    </cfRule>
    <cfRule type="expression" dxfId="8341" priority="2422">
      <formula>$C5&gt;$E$3</formula>
    </cfRule>
  </conditionalFormatting>
  <conditionalFormatting sqref="M5:M11 M50:M51">
    <cfRule type="expression" dxfId="8340" priority="2418">
      <formula>$E5=""</formula>
    </cfRule>
  </conditionalFormatting>
  <conditionalFormatting sqref="M5:M11 M50:M51">
    <cfRule type="expression" dxfId="8339" priority="2417">
      <formula>$C5&lt;$E$3</formula>
    </cfRule>
  </conditionalFormatting>
  <conditionalFormatting sqref="M5:M11 M50:M51">
    <cfRule type="expression" dxfId="8338" priority="2416">
      <formula>$E5=""</formula>
    </cfRule>
  </conditionalFormatting>
  <conditionalFormatting sqref="M5:M11 M50:M51">
    <cfRule type="expression" dxfId="8337" priority="2415">
      <formula>$E5=""</formula>
    </cfRule>
  </conditionalFormatting>
  <conditionalFormatting sqref="M5:M11 M50:M51">
    <cfRule type="expression" dxfId="8336" priority="2414">
      <formula>$C5&lt;$E$3</formula>
    </cfRule>
  </conditionalFormatting>
  <conditionalFormatting sqref="M5:M11 M50:M51">
    <cfRule type="expression" dxfId="8335" priority="2413">
      <formula>$E5=""</formula>
    </cfRule>
  </conditionalFormatting>
  <conditionalFormatting sqref="M5:M11 M50:M51">
    <cfRule type="expression" dxfId="8334" priority="2412">
      <formula>$C5&lt;$E$3</formula>
    </cfRule>
  </conditionalFormatting>
  <conditionalFormatting sqref="M5:M11 M50:M51">
    <cfRule type="expression" dxfId="8333" priority="2411">
      <formula>$E5=""</formula>
    </cfRule>
  </conditionalFormatting>
  <conditionalFormatting sqref="M5:M11 M50:M51">
    <cfRule type="expression" dxfId="8332" priority="2410">
      <formula>$C5&lt;$E$3</formula>
    </cfRule>
  </conditionalFormatting>
  <conditionalFormatting sqref="M5:M11 M50:M51">
    <cfRule type="expression" dxfId="8331" priority="2409">
      <formula>$E5=""</formula>
    </cfRule>
  </conditionalFormatting>
  <conditionalFormatting sqref="M5:M11 M50:M51">
    <cfRule type="expression" dxfId="8330" priority="2408">
      <formula>$C5&lt;$E$3</formula>
    </cfRule>
  </conditionalFormatting>
  <conditionalFormatting sqref="M5:M11 M50:M51">
    <cfRule type="expression" dxfId="8329" priority="2404">
      <formula>$C5=$E$3</formula>
    </cfRule>
    <cfRule type="expression" dxfId="8328" priority="2405">
      <formula>$C5&lt;$E$3</formula>
    </cfRule>
    <cfRule type="cellIs" dxfId="8327" priority="2406" operator="equal">
      <formula>0</formula>
    </cfRule>
    <cfRule type="expression" dxfId="8326" priority="2407">
      <formula>$C5&gt;$E$3</formula>
    </cfRule>
  </conditionalFormatting>
  <conditionalFormatting sqref="M5:M11 M50:M51">
    <cfRule type="expression" dxfId="8325" priority="2403">
      <formula>$C5&lt;$E$3</formula>
    </cfRule>
  </conditionalFormatting>
  <conditionalFormatting sqref="M5:M11 M50:M51">
    <cfRule type="expression" dxfId="8324" priority="2399">
      <formula>$C5=$E$3</formula>
    </cfRule>
    <cfRule type="expression" dxfId="8323" priority="2400">
      <formula>$C5&lt;$E$3</formula>
    </cfRule>
    <cfRule type="cellIs" dxfId="8322" priority="2401" operator="equal">
      <formula>0</formula>
    </cfRule>
    <cfRule type="expression" dxfId="8321" priority="2402">
      <formula>$C5&gt;$E$3</formula>
    </cfRule>
  </conditionalFormatting>
  <conditionalFormatting sqref="M5:M11 M50:M51">
    <cfRule type="expression" dxfId="8320" priority="2398">
      <formula>$C5&lt;$E$3</formula>
    </cfRule>
  </conditionalFormatting>
  <conditionalFormatting sqref="M5:M11 M50:M51">
    <cfRule type="expression" dxfId="8319" priority="2394">
      <formula>$C5=$E$3</formula>
    </cfRule>
    <cfRule type="expression" dxfId="8318" priority="2395">
      <formula>$C5&lt;$E$3</formula>
    </cfRule>
    <cfRule type="cellIs" dxfId="8317" priority="2396" operator="equal">
      <formula>0</formula>
    </cfRule>
    <cfRule type="expression" dxfId="8316" priority="2397">
      <formula>$C5&gt;$E$3</formula>
    </cfRule>
  </conditionalFormatting>
  <conditionalFormatting sqref="M5:M11 M50:M51">
    <cfRule type="expression" dxfId="8315" priority="2393">
      <formula>$C5&lt;$E$3</formula>
    </cfRule>
  </conditionalFormatting>
  <conditionalFormatting sqref="M5:M11 M50:M51">
    <cfRule type="expression" dxfId="8314" priority="2389">
      <formula>$C5=$E$3</formula>
    </cfRule>
    <cfRule type="expression" dxfId="8313" priority="2390">
      <formula>$C5&lt;$E$3</formula>
    </cfRule>
    <cfRule type="cellIs" dxfId="8312" priority="2391" operator="equal">
      <formula>0</formula>
    </cfRule>
    <cfRule type="expression" dxfId="8311" priority="2392">
      <formula>$C5&gt;$E$3</formula>
    </cfRule>
  </conditionalFormatting>
  <conditionalFormatting sqref="M5:M11 M50:M51">
    <cfRule type="expression" dxfId="8310" priority="2388">
      <formula>$E5=""</formula>
    </cfRule>
  </conditionalFormatting>
  <conditionalFormatting sqref="M5:M11 M50:M51">
    <cfRule type="expression" dxfId="8309" priority="2387">
      <formula>$C5&lt;$E$3</formula>
    </cfRule>
  </conditionalFormatting>
  <conditionalFormatting sqref="M5:M11 M50:M51">
    <cfRule type="expression" dxfId="8308" priority="2386">
      <formula>$E5=""</formula>
    </cfRule>
  </conditionalFormatting>
  <conditionalFormatting sqref="M5:M11 M50:M51">
    <cfRule type="expression" dxfId="8307" priority="2385">
      <formula>$E5=""</formula>
    </cfRule>
  </conditionalFormatting>
  <conditionalFormatting sqref="M5:M11 M50:M51">
    <cfRule type="expression" dxfId="8306" priority="2384">
      <formula>$C5&lt;$E$3</formula>
    </cfRule>
  </conditionalFormatting>
  <conditionalFormatting sqref="M5:M11 M50:M51">
    <cfRule type="expression" dxfId="8305" priority="2383">
      <formula>$E5=""</formula>
    </cfRule>
  </conditionalFormatting>
  <conditionalFormatting sqref="M5:M11 M50:M51">
    <cfRule type="expression" dxfId="8304" priority="2382">
      <formula>$C5&lt;$E$3</formula>
    </cfRule>
  </conditionalFormatting>
  <conditionalFormatting sqref="M5:M11 M50:M51">
    <cfRule type="expression" dxfId="8303" priority="2381">
      <formula>$E5=""</formula>
    </cfRule>
  </conditionalFormatting>
  <conditionalFormatting sqref="M5:M11 M50:M51">
    <cfRule type="expression" dxfId="8302" priority="2380">
      <formula>$C5&lt;$E$3</formula>
    </cfRule>
  </conditionalFormatting>
  <conditionalFormatting sqref="M5:M11 M50:M51">
    <cfRule type="expression" dxfId="8301" priority="2379">
      <formula>$E5=""</formula>
    </cfRule>
  </conditionalFormatting>
  <conditionalFormatting sqref="K10">
    <cfRule type="expression" dxfId="8300" priority="2378">
      <formula>$C10&lt;$E$3</formula>
    </cfRule>
  </conditionalFormatting>
  <conditionalFormatting sqref="K10">
    <cfRule type="expression" dxfId="8299" priority="2374">
      <formula>$C10=$E$3</formula>
    </cfRule>
    <cfRule type="expression" dxfId="8298" priority="2375">
      <formula>$C10&lt;$E$3</formula>
    </cfRule>
    <cfRule type="cellIs" dxfId="8297" priority="2376" operator="equal">
      <formula>0</formula>
    </cfRule>
    <cfRule type="expression" dxfId="8296" priority="2377">
      <formula>$C10&gt;$E$3</formula>
    </cfRule>
  </conditionalFormatting>
  <conditionalFormatting sqref="K10">
    <cfRule type="expression" dxfId="8295" priority="2373">
      <formula>$C10&lt;$E$3</formula>
    </cfRule>
  </conditionalFormatting>
  <conditionalFormatting sqref="K10">
    <cfRule type="expression" dxfId="8294" priority="2369">
      <formula>$C10=$E$3</formula>
    </cfRule>
    <cfRule type="expression" dxfId="8293" priority="2370">
      <formula>$C10&lt;$E$3</formula>
    </cfRule>
    <cfRule type="cellIs" dxfId="8292" priority="2371" operator="equal">
      <formula>0</formula>
    </cfRule>
    <cfRule type="expression" dxfId="8291" priority="2372">
      <formula>$C10&gt;$E$3</formula>
    </cfRule>
  </conditionalFormatting>
  <conditionalFormatting sqref="K10">
    <cfRule type="expression" dxfId="8290" priority="2368">
      <formula>$C10&lt;$E$3</formula>
    </cfRule>
  </conditionalFormatting>
  <conditionalFormatting sqref="K10">
    <cfRule type="expression" dxfId="8289" priority="2364">
      <formula>$C10=$E$3</formula>
    </cfRule>
    <cfRule type="expression" dxfId="8288" priority="2365">
      <formula>$C10&lt;$E$3</formula>
    </cfRule>
    <cfRule type="cellIs" dxfId="8287" priority="2366" operator="equal">
      <formula>0</formula>
    </cfRule>
    <cfRule type="expression" dxfId="8286" priority="2367">
      <formula>$C10&gt;$E$3</formula>
    </cfRule>
  </conditionalFormatting>
  <conditionalFormatting sqref="K10">
    <cfRule type="expression" dxfId="8285" priority="2363">
      <formula>$C10&lt;$E$3</formula>
    </cfRule>
  </conditionalFormatting>
  <conditionalFormatting sqref="K10">
    <cfRule type="expression" dxfId="8284" priority="2359">
      <formula>$C10=$E$3</formula>
    </cfRule>
    <cfRule type="expression" dxfId="8283" priority="2360">
      <formula>$C10&lt;$E$3</formula>
    </cfRule>
    <cfRule type="cellIs" dxfId="8282" priority="2361" operator="equal">
      <formula>0</formula>
    </cfRule>
    <cfRule type="expression" dxfId="8281" priority="2362">
      <formula>$C10&gt;$E$3</formula>
    </cfRule>
  </conditionalFormatting>
  <conditionalFormatting sqref="K10">
    <cfRule type="expression" dxfId="8280" priority="2358">
      <formula>$E10=""</formula>
    </cfRule>
  </conditionalFormatting>
  <conditionalFormatting sqref="K10">
    <cfRule type="expression" dxfId="8279" priority="2357">
      <formula>$C10&lt;$E$3</formula>
    </cfRule>
  </conditionalFormatting>
  <conditionalFormatting sqref="K10">
    <cfRule type="expression" dxfId="8278" priority="2356">
      <formula>$E10=""</formula>
    </cfRule>
  </conditionalFormatting>
  <conditionalFormatting sqref="K10">
    <cfRule type="expression" dxfId="8277" priority="2355">
      <formula>$E10=""</formula>
    </cfRule>
  </conditionalFormatting>
  <conditionalFormatting sqref="K10">
    <cfRule type="expression" dxfId="8276" priority="2354">
      <formula>$C10&lt;$E$3</formula>
    </cfRule>
  </conditionalFormatting>
  <conditionalFormatting sqref="K10">
    <cfRule type="expression" dxfId="8275" priority="2353">
      <formula>$E10=""</formula>
    </cfRule>
  </conditionalFormatting>
  <conditionalFormatting sqref="K10">
    <cfRule type="expression" dxfId="8274" priority="2352">
      <formula>$C10&lt;$E$3</formula>
    </cfRule>
  </conditionalFormatting>
  <conditionalFormatting sqref="K10">
    <cfRule type="expression" dxfId="8273" priority="2351">
      <formula>$E10=""</formula>
    </cfRule>
  </conditionalFormatting>
  <conditionalFormatting sqref="K10">
    <cfRule type="expression" dxfId="8272" priority="2350">
      <formula>$C10&lt;$E$3</formula>
    </cfRule>
  </conditionalFormatting>
  <conditionalFormatting sqref="K10">
    <cfRule type="expression" dxfId="8271" priority="2349">
      <formula>$E10=""</formula>
    </cfRule>
  </conditionalFormatting>
  <conditionalFormatting sqref="K10">
    <cfRule type="expression" dxfId="8270" priority="2348">
      <formula>$C10&lt;$E$3</formula>
    </cfRule>
  </conditionalFormatting>
  <conditionalFormatting sqref="K10">
    <cfRule type="expression" dxfId="8269" priority="2344">
      <formula>$C10=$E$3</formula>
    </cfRule>
    <cfRule type="expression" dxfId="8268" priority="2345">
      <formula>$C10&lt;$E$3</formula>
    </cfRule>
    <cfRule type="cellIs" dxfId="8267" priority="2346" operator="equal">
      <formula>0</formula>
    </cfRule>
    <cfRule type="expression" dxfId="8266" priority="2347">
      <formula>$C10&gt;$E$3</formula>
    </cfRule>
  </conditionalFormatting>
  <conditionalFormatting sqref="K10">
    <cfRule type="expression" dxfId="8265" priority="2343">
      <formula>$C10&lt;$E$3</formula>
    </cfRule>
  </conditionalFormatting>
  <conditionalFormatting sqref="K10">
    <cfRule type="expression" dxfId="8264" priority="2339">
      <formula>$C10=$E$3</formula>
    </cfRule>
    <cfRule type="expression" dxfId="8263" priority="2340">
      <formula>$C10&lt;$E$3</formula>
    </cfRule>
    <cfRule type="cellIs" dxfId="8262" priority="2341" operator="equal">
      <formula>0</formula>
    </cfRule>
    <cfRule type="expression" dxfId="8261" priority="2342">
      <formula>$C10&gt;$E$3</formula>
    </cfRule>
  </conditionalFormatting>
  <conditionalFormatting sqref="K10">
    <cfRule type="expression" dxfId="8260" priority="2338">
      <formula>$C10&lt;$E$3</formula>
    </cfRule>
  </conditionalFormatting>
  <conditionalFormatting sqref="K10">
    <cfRule type="expression" dxfId="8259" priority="2334">
      <formula>$C10=$E$3</formula>
    </cfRule>
    <cfRule type="expression" dxfId="8258" priority="2335">
      <formula>$C10&lt;$E$3</formula>
    </cfRule>
    <cfRule type="cellIs" dxfId="8257" priority="2336" operator="equal">
      <formula>0</formula>
    </cfRule>
    <cfRule type="expression" dxfId="8256" priority="2337">
      <formula>$C10&gt;$E$3</formula>
    </cfRule>
  </conditionalFormatting>
  <conditionalFormatting sqref="K10">
    <cfRule type="expression" dxfId="8255" priority="2333">
      <formula>$C10&lt;$E$3</formula>
    </cfRule>
  </conditionalFormatting>
  <conditionalFormatting sqref="K10">
    <cfRule type="expression" dxfId="8254" priority="2329">
      <formula>$C10=$E$3</formula>
    </cfRule>
    <cfRule type="expression" dxfId="8253" priority="2330">
      <formula>$C10&lt;$E$3</formula>
    </cfRule>
    <cfRule type="cellIs" dxfId="8252" priority="2331" operator="equal">
      <formula>0</formula>
    </cfRule>
    <cfRule type="expression" dxfId="8251" priority="2332">
      <formula>$C10&gt;$E$3</formula>
    </cfRule>
  </conditionalFormatting>
  <conditionalFormatting sqref="K10">
    <cfRule type="expression" dxfId="8250" priority="2328">
      <formula>$E10=""</formula>
    </cfRule>
  </conditionalFormatting>
  <conditionalFormatting sqref="K10">
    <cfRule type="expression" dxfId="8249" priority="2327">
      <formula>$C10&lt;$E$3</formula>
    </cfRule>
  </conditionalFormatting>
  <conditionalFormatting sqref="K10">
    <cfRule type="expression" dxfId="8248" priority="2326">
      <formula>$E10=""</formula>
    </cfRule>
  </conditionalFormatting>
  <conditionalFormatting sqref="K10">
    <cfRule type="expression" dxfId="8247" priority="2325">
      <formula>$E10=""</formula>
    </cfRule>
  </conditionalFormatting>
  <conditionalFormatting sqref="K10">
    <cfRule type="expression" dxfId="8246" priority="2324">
      <formula>$C10&lt;$E$3</formula>
    </cfRule>
  </conditionalFormatting>
  <conditionalFormatting sqref="K10">
    <cfRule type="expression" dxfId="8245" priority="2323">
      <formula>$E10=""</formula>
    </cfRule>
  </conditionalFormatting>
  <conditionalFormatting sqref="K10">
    <cfRule type="expression" dxfId="8244" priority="2322">
      <formula>$C10&lt;$E$3</formula>
    </cfRule>
  </conditionalFormatting>
  <conditionalFormatting sqref="K10">
    <cfRule type="expression" dxfId="8243" priority="2321">
      <formula>$E10=""</formula>
    </cfRule>
  </conditionalFormatting>
  <conditionalFormatting sqref="K10">
    <cfRule type="expression" dxfId="8242" priority="2320">
      <formula>$C10&lt;$E$3</formula>
    </cfRule>
  </conditionalFormatting>
  <conditionalFormatting sqref="K10">
    <cfRule type="expression" dxfId="8241" priority="2319">
      <formula>$E10=""</formula>
    </cfRule>
  </conditionalFormatting>
  <conditionalFormatting sqref="K5:K9">
    <cfRule type="expression" dxfId="8240" priority="2318">
      <formula>$C5&lt;$E$3</formula>
    </cfRule>
  </conditionalFormatting>
  <conditionalFormatting sqref="K5:K9">
    <cfRule type="expression" dxfId="8239" priority="2314">
      <formula>$C5=$E$3</formula>
    </cfRule>
    <cfRule type="expression" dxfId="8238" priority="2315">
      <formula>$C5&lt;$E$3</formula>
    </cfRule>
    <cfRule type="cellIs" dxfId="8237" priority="2316" operator="equal">
      <formula>0</formula>
    </cfRule>
    <cfRule type="expression" dxfId="8236" priority="2317">
      <formula>$C5&gt;$E$3</formula>
    </cfRule>
  </conditionalFormatting>
  <conditionalFormatting sqref="K5:K9">
    <cfRule type="expression" dxfId="8235" priority="2313">
      <formula>$C5&lt;$E$3</formula>
    </cfRule>
  </conditionalFormatting>
  <conditionalFormatting sqref="K5:K9">
    <cfRule type="expression" dxfId="8234" priority="2309">
      <formula>$C5=$E$3</formula>
    </cfRule>
    <cfRule type="expression" dxfId="8233" priority="2310">
      <formula>$C5&lt;$E$3</formula>
    </cfRule>
    <cfRule type="cellIs" dxfId="8232" priority="2311" operator="equal">
      <formula>0</formula>
    </cfRule>
    <cfRule type="expression" dxfId="8231" priority="2312">
      <formula>$C5&gt;$E$3</formula>
    </cfRule>
  </conditionalFormatting>
  <conditionalFormatting sqref="K5:K9">
    <cfRule type="expression" dxfId="8230" priority="2308">
      <formula>$C5&lt;$E$3</formula>
    </cfRule>
  </conditionalFormatting>
  <conditionalFormatting sqref="K5:K9">
    <cfRule type="expression" dxfId="8229" priority="2304">
      <formula>$C5=$E$3</formula>
    </cfRule>
    <cfRule type="expression" dxfId="8228" priority="2305">
      <formula>$C5&lt;$E$3</formula>
    </cfRule>
    <cfRule type="cellIs" dxfId="8227" priority="2306" operator="equal">
      <formula>0</formula>
    </cfRule>
    <cfRule type="expression" dxfId="8226" priority="2307">
      <formula>$C5&gt;$E$3</formula>
    </cfRule>
  </conditionalFormatting>
  <conditionalFormatting sqref="K5:K9">
    <cfRule type="expression" dxfId="8225" priority="2303">
      <formula>$C5&lt;$E$3</formula>
    </cfRule>
  </conditionalFormatting>
  <conditionalFormatting sqref="K5:K9">
    <cfRule type="expression" dxfId="8224" priority="2299">
      <formula>$C5=$E$3</formula>
    </cfRule>
    <cfRule type="expression" dxfId="8223" priority="2300">
      <formula>$C5&lt;$E$3</formula>
    </cfRule>
    <cfRule type="cellIs" dxfId="8222" priority="2301" operator="equal">
      <formula>0</formula>
    </cfRule>
    <cfRule type="expression" dxfId="8221" priority="2302">
      <formula>$C5&gt;$E$3</formula>
    </cfRule>
  </conditionalFormatting>
  <conditionalFormatting sqref="K5:K9">
    <cfRule type="expression" dxfId="8220" priority="2297">
      <formula>$C5&lt;$E$3</formula>
    </cfRule>
  </conditionalFormatting>
  <conditionalFormatting sqref="K5:K9">
    <cfRule type="expression" dxfId="8219" priority="2295">
      <formula>$E5=""</formula>
    </cfRule>
  </conditionalFormatting>
  <conditionalFormatting sqref="K5:K9">
    <cfRule type="expression" dxfId="8218" priority="2294">
      <formula>$C5&lt;$E$3</formula>
    </cfRule>
  </conditionalFormatting>
  <conditionalFormatting sqref="K5:K9">
    <cfRule type="expression" dxfId="8217" priority="2293">
      <formula>$E5=""</formula>
    </cfRule>
  </conditionalFormatting>
  <conditionalFormatting sqref="K5:K9">
    <cfRule type="expression" dxfId="8216" priority="2292">
      <formula>$C5&lt;$E$3</formula>
    </cfRule>
  </conditionalFormatting>
  <conditionalFormatting sqref="K5:K9">
    <cfRule type="expression" dxfId="8215" priority="2291">
      <formula>$E5=""</formula>
    </cfRule>
  </conditionalFormatting>
  <conditionalFormatting sqref="K5:K9">
    <cfRule type="expression" dxfId="8214" priority="2289">
      <formula>$E5=""</formula>
    </cfRule>
  </conditionalFormatting>
  <conditionalFormatting sqref="K5:K9">
    <cfRule type="expression" dxfId="8213" priority="2288">
      <formula>$C5&lt;$E$3</formula>
    </cfRule>
  </conditionalFormatting>
  <conditionalFormatting sqref="K5:K9">
    <cfRule type="expression" dxfId="8212" priority="2284">
      <formula>$C5=$E$3</formula>
    </cfRule>
    <cfRule type="expression" dxfId="8211" priority="2285">
      <formula>$C5&lt;$E$3</formula>
    </cfRule>
    <cfRule type="cellIs" dxfId="8210" priority="2286" operator="equal">
      <formula>0</formula>
    </cfRule>
    <cfRule type="expression" dxfId="8209" priority="2287">
      <formula>$C5&gt;$E$3</formula>
    </cfRule>
  </conditionalFormatting>
  <conditionalFormatting sqref="K5:K9">
    <cfRule type="expression" dxfId="8208" priority="2283">
      <formula>$C5&lt;$E$3</formula>
    </cfRule>
  </conditionalFormatting>
  <conditionalFormatting sqref="K5:K9">
    <cfRule type="expression" dxfId="8207" priority="2279">
      <formula>$C5=$E$3</formula>
    </cfRule>
    <cfRule type="expression" dxfId="8206" priority="2280">
      <formula>$C5&lt;$E$3</formula>
    </cfRule>
    <cfRule type="cellIs" dxfId="8205" priority="2281" operator="equal">
      <formula>0</formula>
    </cfRule>
    <cfRule type="expression" dxfId="8204" priority="2282">
      <formula>$C5&gt;$E$3</formula>
    </cfRule>
  </conditionalFormatting>
  <conditionalFormatting sqref="K5:K9">
    <cfRule type="expression" dxfId="8203" priority="2278">
      <formula>$C5&lt;$E$3</formula>
    </cfRule>
  </conditionalFormatting>
  <conditionalFormatting sqref="K5:K9">
    <cfRule type="expression" dxfId="8202" priority="2274">
      <formula>$C5=$E$3</formula>
    </cfRule>
    <cfRule type="expression" dxfId="8201" priority="2275">
      <formula>$C5&lt;$E$3</formula>
    </cfRule>
    <cfRule type="cellIs" dxfId="8200" priority="2276" operator="equal">
      <formula>0</formula>
    </cfRule>
    <cfRule type="expression" dxfId="8199" priority="2277">
      <formula>$C5&gt;$E$3</formula>
    </cfRule>
  </conditionalFormatting>
  <conditionalFormatting sqref="K5:K9">
    <cfRule type="expression" dxfId="8198" priority="2273">
      <formula>$C5&lt;$E$3</formula>
    </cfRule>
  </conditionalFormatting>
  <conditionalFormatting sqref="K5:K9">
    <cfRule type="expression" dxfId="8197" priority="2269">
      <formula>$C5=$E$3</formula>
    </cfRule>
    <cfRule type="expression" dxfId="8196" priority="2270">
      <formula>$C5&lt;$E$3</formula>
    </cfRule>
    <cfRule type="cellIs" dxfId="8195" priority="2271" operator="equal">
      <formula>0</formula>
    </cfRule>
    <cfRule type="expression" dxfId="8194" priority="2272">
      <formula>$C5&gt;$E$3</formula>
    </cfRule>
  </conditionalFormatting>
  <conditionalFormatting sqref="K5:K9">
    <cfRule type="expression" dxfId="8193" priority="2268">
      <formula>$E5=""</formula>
    </cfRule>
  </conditionalFormatting>
  <conditionalFormatting sqref="K5:K9">
    <cfRule type="expression" dxfId="8192" priority="2266">
      <formula>$E5=""</formula>
    </cfRule>
  </conditionalFormatting>
  <conditionalFormatting sqref="K5:K9">
    <cfRule type="expression" dxfId="8191" priority="2265">
      <formula>$E5=""</formula>
    </cfRule>
  </conditionalFormatting>
  <conditionalFormatting sqref="K5:K9">
    <cfRule type="expression" dxfId="8190" priority="2264">
      <formula>$C5&lt;$E$3</formula>
    </cfRule>
  </conditionalFormatting>
  <conditionalFormatting sqref="K5:K9">
    <cfRule type="expression" dxfId="8189" priority="2263">
      <formula>$E5=""</formula>
    </cfRule>
  </conditionalFormatting>
  <conditionalFormatting sqref="K5:K9">
    <cfRule type="expression" dxfId="8188" priority="2262">
      <formula>$C5&lt;$E$3</formula>
    </cfRule>
  </conditionalFormatting>
  <conditionalFormatting sqref="K5:K9">
    <cfRule type="expression" dxfId="8187" priority="2261">
      <formula>$E5=""</formula>
    </cfRule>
  </conditionalFormatting>
  <conditionalFormatting sqref="K5:K9">
    <cfRule type="expression" dxfId="8186" priority="2259">
      <formula>$E5=""</formula>
    </cfRule>
  </conditionalFormatting>
  <conditionalFormatting sqref="K5:K11">
    <cfRule type="expression" dxfId="8185" priority="2257">
      <formula>$C5&lt;$E$3</formula>
    </cfRule>
  </conditionalFormatting>
  <conditionalFormatting sqref="K5:K11">
    <cfRule type="expression" dxfId="8184" priority="2254">
      <formula>$C5=$E$3</formula>
    </cfRule>
    <cfRule type="expression" dxfId="8183" priority="2255">
      <formula>$C5&lt;$E$3</formula>
    </cfRule>
    <cfRule type="cellIs" dxfId="8182" priority="2256" operator="equal">
      <formula>0</formula>
    </cfRule>
    <cfRule type="expression" dxfId="8181" priority="2258">
      <formula>$C5&gt;$E$3</formula>
    </cfRule>
  </conditionalFormatting>
  <conditionalFormatting sqref="K5:K11">
    <cfRule type="expression" dxfId="8180" priority="2253">
      <formula>$E5=""</formula>
    </cfRule>
  </conditionalFormatting>
  <conditionalFormatting sqref="K5:K11">
    <cfRule type="expression" dxfId="8179" priority="2252">
      <formula>$E5=""</formula>
    </cfRule>
  </conditionalFormatting>
  <conditionalFormatting sqref="K5:K11">
    <cfRule type="expression" dxfId="8178" priority="2251">
      <formula>$E5=""</formula>
    </cfRule>
  </conditionalFormatting>
  <conditionalFormatting sqref="K50:K51">
    <cfRule type="expression" dxfId="8177" priority="2249">
      <formula>$C50&lt;$E$3</formula>
    </cfRule>
  </conditionalFormatting>
  <conditionalFormatting sqref="K50:K51">
    <cfRule type="expression" dxfId="8176" priority="2246">
      <formula>$C50=$E$3</formula>
    </cfRule>
    <cfRule type="expression" dxfId="8175" priority="2247">
      <formula>$C50&lt;$E$3</formula>
    </cfRule>
    <cfRule type="cellIs" dxfId="8174" priority="2248" operator="equal">
      <formula>0</formula>
    </cfRule>
    <cfRule type="expression" dxfId="8173" priority="2250">
      <formula>$C50&gt;$E$3</formula>
    </cfRule>
  </conditionalFormatting>
  <conditionalFormatting sqref="K50:K51">
    <cfRule type="expression" dxfId="8172" priority="2244">
      <formula>$E50=""</formula>
    </cfRule>
  </conditionalFormatting>
  <conditionalFormatting sqref="K50:K51">
    <cfRule type="expression" dxfId="8171" priority="2243">
      <formula>$E50=""</formula>
    </cfRule>
  </conditionalFormatting>
  <conditionalFormatting sqref="K50:K51">
    <cfRule type="cellIs" dxfId="8170" priority="2242" stopIfTrue="1" operator="lessThan">
      <formula>0</formula>
    </cfRule>
  </conditionalFormatting>
  <conditionalFormatting sqref="K50:K51">
    <cfRule type="expression" dxfId="8169" priority="2240">
      <formula>$C50&lt;$E$3</formula>
    </cfRule>
  </conditionalFormatting>
  <conditionalFormatting sqref="K50:K51">
    <cfRule type="expression" dxfId="8168" priority="2237">
      <formula>$C50=$E$3</formula>
    </cfRule>
    <cfRule type="expression" dxfId="8167" priority="2238">
      <formula>$C50&lt;$E$3</formula>
    </cfRule>
    <cfRule type="cellIs" dxfId="8166" priority="2239" operator="equal">
      <formula>0</formula>
    </cfRule>
    <cfRule type="expression" dxfId="8165" priority="2241">
      <formula>$C50&gt;$E$3</formula>
    </cfRule>
  </conditionalFormatting>
  <conditionalFormatting sqref="K50:K51">
    <cfRule type="expression" dxfId="8164" priority="2236">
      <formula>$E50=""</formula>
    </cfRule>
  </conditionalFormatting>
  <conditionalFormatting sqref="K50:K51">
    <cfRule type="expression" dxfId="8163" priority="2235">
      <formula>$E50=""</formula>
    </cfRule>
  </conditionalFormatting>
  <conditionalFormatting sqref="K50:K51">
    <cfRule type="expression" dxfId="8162" priority="2234">
      <formula>$E50=""</formula>
    </cfRule>
  </conditionalFormatting>
  <conditionalFormatting sqref="K50:K51">
    <cfRule type="cellIs" dxfId="8161" priority="2233" stopIfTrue="1" operator="lessThan">
      <formula>0</formula>
    </cfRule>
  </conditionalFormatting>
  <conditionalFormatting sqref="K50:K51">
    <cfRule type="cellIs" dxfId="8160" priority="2232" stopIfTrue="1" operator="lessThan">
      <formula>0</formula>
    </cfRule>
  </conditionalFormatting>
  <conditionalFormatting sqref="K50:K51">
    <cfRule type="cellIs" dxfId="8159" priority="2231" stopIfTrue="1" operator="lessThan">
      <formula>0</formula>
    </cfRule>
  </conditionalFormatting>
  <conditionalFormatting sqref="K50:K51">
    <cfRule type="cellIs" dxfId="8158" priority="2230" stopIfTrue="1" operator="lessThan">
      <formula>0</formula>
    </cfRule>
  </conditionalFormatting>
  <conditionalFormatting sqref="K50:K51">
    <cfRule type="expression" dxfId="8157" priority="2229">
      <formula>$C50&lt;$E$3</formula>
    </cfRule>
  </conditionalFormatting>
  <conditionalFormatting sqref="K50:K51">
    <cfRule type="expression" dxfId="8156" priority="2225">
      <formula>$C50=$E$3</formula>
    </cfRule>
    <cfRule type="expression" dxfId="8155" priority="2226">
      <formula>$C50&lt;$E$3</formula>
    </cfRule>
    <cfRule type="cellIs" dxfId="8154" priority="2227" operator="equal">
      <formula>0</formula>
    </cfRule>
    <cfRule type="expression" dxfId="8153" priority="2228">
      <formula>$C50&gt;$E$3</formula>
    </cfRule>
  </conditionalFormatting>
  <conditionalFormatting sqref="K50:K51">
    <cfRule type="expression" dxfId="8152" priority="2224">
      <formula>$C50&lt;$E$3</formula>
    </cfRule>
  </conditionalFormatting>
  <conditionalFormatting sqref="K50:K51">
    <cfRule type="expression" dxfId="8151" priority="2220">
      <formula>$C50=$E$3</formula>
    </cfRule>
    <cfRule type="expression" dxfId="8150" priority="2221">
      <formula>$C50&lt;$E$3</formula>
    </cfRule>
    <cfRule type="cellIs" dxfId="8149" priority="2222" operator="equal">
      <formula>0</formula>
    </cfRule>
    <cfRule type="expression" dxfId="8148" priority="2223">
      <formula>$C50&gt;$E$3</formula>
    </cfRule>
  </conditionalFormatting>
  <conditionalFormatting sqref="K50:K51">
    <cfRule type="expression" dxfId="8147" priority="2219">
      <formula>$C50&lt;$E$3</formula>
    </cfRule>
  </conditionalFormatting>
  <conditionalFormatting sqref="K50:K51">
    <cfRule type="expression" dxfId="8146" priority="2215">
      <formula>$C50=$E$3</formula>
    </cfRule>
    <cfRule type="expression" dxfId="8145" priority="2216">
      <formula>$C50&lt;$E$3</formula>
    </cfRule>
    <cfRule type="cellIs" dxfId="8144" priority="2217" operator="equal">
      <formula>0</formula>
    </cfRule>
    <cfRule type="expression" dxfId="8143" priority="2218">
      <formula>$C50&gt;$E$3</formula>
    </cfRule>
  </conditionalFormatting>
  <conditionalFormatting sqref="K50:K51">
    <cfRule type="expression" dxfId="8142" priority="2210">
      <formula>$C50=$E$3</formula>
    </cfRule>
    <cfRule type="expression" dxfId="8141" priority="2211">
      <formula>$C50&lt;$E$3</formula>
    </cfRule>
    <cfRule type="cellIs" dxfId="8140" priority="2212" operator="equal">
      <formula>0</formula>
    </cfRule>
    <cfRule type="expression" dxfId="8139" priority="2213">
      <formula>$C50&gt;$E$3</formula>
    </cfRule>
  </conditionalFormatting>
  <conditionalFormatting sqref="K50:K51">
    <cfRule type="expression" dxfId="8138" priority="2209">
      <formula>$E50=""</formula>
    </cfRule>
  </conditionalFormatting>
  <conditionalFormatting sqref="K50:K51">
    <cfRule type="expression" dxfId="8137" priority="2208">
      <formula>$C50&lt;$E$3</formula>
    </cfRule>
  </conditionalFormatting>
  <conditionalFormatting sqref="K50:K51">
    <cfRule type="expression" dxfId="8136" priority="2207">
      <formula>$E50=""</formula>
    </cfRule>
  </conditionalFormatting>
  <conditionalFormatting sqref="K50:K51">
    <cfRule type="expression" dxfId="8135" priority="2206">
      <formula>$E50=""</formula>
    </cfRule>
  </conditionalFormatting>
  <conditionalFormatting sqref="K50:K51">
    <cfRule type="expression" dxfId="8134" priority="2204">
      <formula>$E50=""</formula>
    </cfRule>
  </conditionalFormatting>
  <conditionalFormatting sqref="K50:K51">
    <cfRule type="expression" dxfId="8133" priority="2203">
      <formula>$C50&lt;$E$3</formula>
    </cfRule>
  </conditionalFormatting>
  <conditionalFormatting sqref="K50:K51">
    <cfRule type="expression" dxfId="8132" priority="2202">
      <formula>$E50=""</formula>
    </cfRule>
  </conditionalFormatting>
  <conditionalFormatting sqref="K50:K51">
    <cfRule type="expression" dxfId="8131" priority="2201">
      <formula>$C50&lt;$E$3</formula>
    </cfRule>
  </conditionalFormatting>
  <conditionalFormatting sqref="K50:K51">
    <cfRule type="expression" dxfId="8130" priority="2200">
      <formula>$E50=""</formula>
    </cfRule>
  </conditionalFormatting>
  <conditionalFormatting sqref="K50:K51">
    <cfRule type="expression" dxfId="8129" priority="2199">
      <formula>$C50&lt;$E$3</formula>
    </cfRule>
  </conditionalFormatting>
  <conditionalFormatting sqref="K50:K51">
    <cfRule type="expression" dxfId="8128" priority="2195">
      <formula>$C50=$E$3</formula>
    </cfRule>
    <cfRule type="expression" dxfId="8127" priority="2196">
      <formula>$C50&lt;$E$3</formula>
    </cfRule>
    <cfRule type="cellIs" dxfId="8126" priority="2197" operator="equal">
      <formula>0</formula>
    </cfRule>
    <cfRule type="expression" dxfId="8125" priority="2198">
      <formula>$C50&gt;$E$3</formula>
    </cfRule>
  </conditionalFormatting>
  <conditionalFormatting sqref="K50:K51">
    <cfRule type="expression" dxfId="8124" priority="2194">
      <formula>$C50&lt;$E$3</formula>
    </cfRule>
  </conditionalFormatting>
  <conditionalFormatting sqref="K50:K51">
    <cfRule type="expression" dxfId="8123" priority="2190">
      <formula>$C50=$E$3</formula>
    </cfRule>
    <cfRule type="expression" dxfId="8122" priority="2191">
      <formula>$C50&lt;$E$3</formula>
    </cfRule>
    <cfRule type="cellIs" dxfId="8121" priority="2192" operator="equal">
      <formula>0</formula>
    </cfRule>
    <cfRule type="expression" dxfId="8120" priority="2193">
      <formula>$C50&gt;$E$3</formula>
    </cfRule>
  </conditionalFormatting>
  <conditionalFormatting sqref="K50:K51">
    <cfRule type="expression" dxfId="8119" priority="2189">
      <formula>$C50&lt;$E$3</formula>
    </cfRule>
  </conditionalFormatting>
  <conditionalFormatting sqref="K50:K51">
    <cfRule type="expression" dxfId="8118" priority="2185">
      <formula>$C50=$E$3</formula>
    </cfRule>
    <cfRule type="expression" dxfId="8117" priority="2186">
      <formula>$C50&lt;$E$3</formula>
    </cfRule>
    <cfRule type="cellIs" dxfId="8116" priority="2187" operator="equal">
      <formula>0</formula>
    </cfRule>
    <cfRule type="expression" dxfId="8115" priority="2188">
      <formula>$C50&gt;$E$3</formula>
    </cfRule>
  </conditionalFormatting>
  <conditionalFormatting sqref="K50:K51">
    <cfRule type="expression" dxfId="8114" priority="2180">
      <formula>$C50=$E$3</formula>
    </cfRule>
    <cfRule type="expression" dxfId="8113" priority="2181">
      <formula>$C50&lt;$E$3</formula>
    </cfRule>
    <cfRule type="cellIs" dxfId="8112" priority="2182" operator="equal">
      <formula>0</formula>
    </cfRule>
    <cfRule type="expression" dxfId="8111" priority="2183">
      <formula>$C50&gt;$E$3</formula>
    </cfRule>
  </conditionalFormatting>
  <conditionalFormatting sqref="K50:K51">
    <cfRule type="expression" dxfId="8110" priority="2179">
      <formula>$E50=""</formula>
    </cfRule>
  </conditionalFormatting>
  <conditionalFormatting sqref="K50:K51">
    <cfRule type="expression" dxfId="8109" priority="2178">
      <formula>$C50&lt;$E$3</formula>
    </cfRule>
  </conditionalFormatting>
  <conditionalFormatting sqref="K50:K51">
    <cfRule type="expression" dxfId="8108" priority="2177">
      <formula>$E50=""</formula>
    </cfRule>
  </conditionalFormatting>
  <conditionalFormatting sqref="K50:K51">
    <cfRule type="expression" dxfId="8107" priority="2176">
      <formula>$E50=""</formula>
    </cfRule>
  </conditionalFormatting>
  <conditionalFormatting sqref="K50:K51">
    <cfRule type="expression" dxfId="8106" priority="2175">
      <formula>$C50&lt;$E$3</formula>
    </cfRule>
  </conditionalFormatting>
  <conditionalFormatting sqref="K50:K51">
    <cfRule type="expression" dxfId="8105" priority="2174">
      <formula>$E50=""</formula>
    </cfRule>
  </conditionalFormatting>
  <conditionalFormatting sqref="K50:K51">
    <cfRule type="expression" dxfId="8104" priority="2173">
      <formula>$C50&lt;$E$3</formula>
    </cfRule>
  </conditionalFormatting>
  <conditionalFormatting sqref="K50:K51">
    <cfRule type="expression" dxfId="8103" priority="2172">
      <formula>$E50=""</formula>
    </cfRule>
  </conditionalFormatting>
  <conditionalFormatting sqref="K50:K51">
    <cfRule type="expression" dxfId="8102" priority="2171">
      <formula>$C50&lt;$E$3</formula>
    </cfRule>
  </conditionalFormatting>
  <conditionalFormatting sqref="K50:K51">
    <cfRule type="expression" dxfId="8101" priority="2170">
      <formula>$E50=""</formula>
    </cfRule>
  </conditionalFormatting>
  <conditionalFormatting sqref="K50:K51">
    <cfRule type="expression" dxfId="8100" priority="2168">
      <formula>$C50&lt;$E$3</formula>
    </cfRule>
  </conditionalFormatting>
  <conditionalFormatting sqref="K50:K51">
    <cfRule type="expression" dxfId="8099" priority="2165">
      <formula>$C50=$E$3</formula>
    </cfRule>
    <cfRule type="expression" dxfId="8098" priority="2166">
      <formula>$C50&lt;$E$3</formula>
    </cfRule>
    <cfRule type="cellIs" dxfId="8097" priority="2167" operator="equal">
      <formula>0</formula>
    </cfRule>
    <cfRule type="expression" dxfId="8096" priority="2169">
      <formula>$C50&gt;$E$3</formula>
    </cfRule>
  </conditionalFormatting>
  <conditionalFormatting sqref="K50:K51">
    <cfRule type="expression" dxfId="8095" priority="2164">
      <formula>$E50=""</formula>
    </cfRule>
  </conditionalFormatting>
  <conditionalFormatting sqref="K50:K51">
    <cfRule type="expression" dxfId="8094" priority="2163">
      <formula>$E50=""</formula>
    </cfRule>
  </conditionalFormatting>
  <conditionalFormatting sqref="K50:K51">
    <cfRule type="expression" dxfId="8093" priority="2162">
      <formula>$E50=""</formula>
    </cfRule>
  </conditionalFormatting>
  <conditionalFormatting sqref="N5:N6 N9">
    <cfRule type="cellIs" dxfId="8092" priority="2161" stopIfTrue="1" operator="lessThan">
      <formula>0</formula>
    </cfRule>
  </conditionalFormatting>
  <conditionalFormatting sqref="J41:J47 L41:M47 M14:M20 L36:M38 M32:M35 J36:J38 M23:M29">
    <cfRule type="cellIs" dxfId="8091" priority="2160" stopIfTrue="1" operator="lessThan">
      <formula>0</formula>
    </cfRule>
  </conditionalFormatting>
  <conditionalFormatting sqref="J41:J47 L41:M47 M14:M20 L36:M38 M32:M35 J36:J38 M23:M29">
    <cfRule type="expression" dxfId="8090" priority="2155">
      <formula>$C14=$E$3</formula>
    </cfRule>
    <cfRule type="expression" dxfId="8089" priority="2156">
      <formula>$C14&lt;$E$3</formula>
    </cfRule>
    <cfRule type="cellIs" dxfId="8088" priority="2157" operator="equal">
      <formula>0</formula>
    </cfRule>
    <cfRule type="expression" dxfId="8087" priority="2159">
      <formula>$C14&gt;$E$3</formula>
    </cfRule>
  </conditionalFormatting>
  <conditionalFormatting sqref="J41:J47 L41:M47 M14:M20 L36:M38 M32:M35 J36:J38 M23:M29">
    <cfRule type="expression" dxfId="8086" priority="2154">
      <formula>$E14=""</formula>
    </cfRule>
  </conditionalFormatting>
  <conditionalFormatting sqref="J41:J47 L41:M47 M14:M20 L36:M38 M32:M35 J36:J38 M23:M29">
    <cfRule type="expression" dxfId="8085" priority="2153">
      <formula>$E14=""</formula>
    </cfRule>
  </conditionalFormatting>
  <conditionalFormatting sqref="J41:J47 L41:M47 M14:M20 L36:M38 M32:M35 J36:J38 M23:M29">
    <cfRule type="expression" dxfId="8084" priority="2152">
      <formula>$E14=""</formula>
    </cfRule>
  </conditionalFormatting>
  <conditionalFormatting sqref="M14:M20 M32:M38 M41:M47 M23:M29">
    <cfRule type="expression" dxfId="8083" priority="2151">
      <formula>$C14&lt;$E$3</formula>
    </cfRule>
  </conditionalFormatting>
  <conditionalFormatting sqref="M14:M20 M32:M38 M41:M47 M23:M29">
    <cfRule type="expression" dxfId="8082" priority="2147">
      <formula>$C14=$E$3</formula>
    </cfRule>
    <cfRule type="expression" dxfId="8081" priority="2148">
      <formula>$C14&lt;$E$3</formula>
    </cfRule>
    <cfRule type="cellIs" dxfId="8080" priority="2149" operator="equal">
      <formula>0</formula>
    </cfRule>
    <cfRule type="expression" dxfId="8079" priority="2150">
      <formula>$C14&gt;$E$3</formula>
    </cfRule>
  </conditionalFormatting>
  <conditionalFormatting sqref="M14:M20 M32:M38 M41:M47 M23:M29">
    <cfRule type="expression" dxfId="8078" priority="2146">
      <formula>$C14&lt;$E$3</formula>
    </cfRule>
  </conditionalFormatting>
  <conditionalFormatting sqref="M14:M20 M32:M38 M41:M47 M23:M29">
    <cfRule type="expression" dxfId="8077" priority="2142">
      <formula>$C14=$E$3</formula>
    </cfRule>
    <cfRule type="expression" dxfId="8076" priority="2143">
      <formula>$C14&lt;$E$3</formula>
    </cfRule>
    <cfRule type="cellIs" dxfId="8075" priority="2144" operator="equal">
      <formula>0</formula>
    </cfRule>
    <cfRule type="expression" dxfId="8074" priority="2145">
      <formula>$C14&gt;$E$3</formula>
    </cfRule>
  </conditionalFormatting>
  <conditionalFormatting sqref="M14:M20 M32:M38 M41:M47 M23:M29">
    <cfRule type="expression" dxfId="8073" priority="2141">
      <formula>$C14&lt;$E$3</formula>
    </cfRule>
  </conditionalFormatting>
  <conditionalFormatting sqref="M14:M20 M32:M38 M41:M47 M23:M29">
    <cfRule type="expression" dxfId="8072" priority="2137">
      <formula>$C14=$E$3</formula>
    </cfRule>
    <cfRule type="expression" dxfId="8071" priority="2138">
      <formula>$C14&lt;$E$3</formula>
    </cfRule>
    <cfRule type="cellIs" dxfId="8070" priority="2139" operator="equal">
      <formula>0</formula>
    </cfRule>
    <cfRule type="expression" dxfId="8069" priority="2140">
      <formula>$C14&gt;$E$3</formula>
    </cfRule>
  </conditionalFormatting>
  <conditionalFormatting sqref="M14:M20 M32:M38 M41:M47 M23:M29">
    <cfRule type="expression" dxfId="8068" priority="2136">
      <formula>$C14&lt;$E$3</formula>
    </cfRule>
  </conditionalFormatting>
  <conditionalFormatting sqref="M14:M20 M32:M38 M41:M47 M23:M29">
    <cfRule type="expression" dxfId="8067" priority="2132">
      <formula>$C14=$E$3</formula>
    </cfRule>
    <cfRule type="expression" dxfId="8066" priority="2133">
      <formula>$C14&lt;$E$3</formula>
    </cfRule>
    <cfRule type="cellIs" dxfId="8065" priority="2134" operator="equal">
      <formula>0</formula>
    </cfRule>
    <cfRule type="expression" dxfId="8064" priority="2135">
      <formula>$C14&gt;$E$3</formula>
    </cfRule>
  </conditionalFormatting>
  <conditionalFormatting sqref="M14:M20 M32:M38 M41:M47 M23:M29">
    <cfRule type="expression" dxfId="8063" priority="2131">
      <formula>$E14=""</formula>
    </cfRule>
  </conditionalFormatting>
  <conditionalFormatting sqref="M14:M20 M32:M38 M41:M47 M23:M29">
    <cfRule type="expression" dxfId="8062" priority="2129">
      <formula>$E14=""</formula>
    </cfRule>
  </conditionalFormatting>
  <conditionalFormatting sqref="M32:M38 M41:M47 M14:M20 M23:M29">
    <cfRule type="expression" dxfId="8061" priority="2128">
      <formula>$E14=""</formula>
    </cfRule>
  </conditionalFormatting>
  <conditionalFormatting sqref="M14:M20 M32:M38 M41:M47 M23:M29">
    <cfRule type="expression" dxfId="8060" priority="2127">
      <formula>$C14&lt;$E$3</formula>
    </cfRule>
  </conditionalFormatting>
  <conditionalFormatting sqref="M14:M20 M32:M38 M41:M47 M23:M29">
    <cfRule type="expression" dxfId="8059" priority="2126">
      <formula>$E14=""</formula>
    </cfRule>
  </conditionalFormatting>
  <conditionalFormatting sqref="M14:M20 M32:M38 M41:M47 M23:M29">
    <cfRule type="expression" dxfId="8058" priority="2125">
      <formula>$C14&lt;$E$3</formula>
    </cfRule>
  </conditionalFormatting>
  <conditionalFormatting sqref="M14:M20 M32:M38 M41:M47 M23:M29">
    <cfRule type="expression" dxfId="8057" priority="2124">
      <formula>$E14=""</formula>
    </cfRule>
  </conditionalFormatting>
  <conditionalFormatting sqref="M14:M20 M32:M38 M41:M47 M23:M29">
    <cfRule type="expression" dxfId="8056" priority="2122">
      <formula>$E14=""</formula>
    </cfRule>
  </conditionalFormatting>
  <conditionalFormatting sqref="M14:M20 M32:M38 M41:M47 M23:M29">
    <cfRule type="expression" dxfId="8055" priority="2121">
      <formula>$C14&lt;$E$3</formula>
    </cfRule>
  </conditionalFormatting>
  <conditionalFormatting sqref="M14:M20 M32:M38 M41:M47 M23:M29">
    <cfRule type="expression" dxfId="8054" priority="2117">
      <formula>$C14=$E$3</formula>
    </cfRule>
    <cfRule type="expression" dxfId="8053" priority="2118">
      <formula>$C14&lt;$E$3</formula>
    </cfRule>
    <cfRule type="cellIs" dxfId="8052" priority="2119" operator="equal">
      <formula>0</formula>
    </cfRule>
    <cfRule type="expression" dxfId="8051" priority="2120">
      <formula>$C14&gt;$E$3</formula>
    </cfRule>
  </conditionalFormatting>
  <conditionalFormatting sqref="M14:M20 M32:M38 M41:M47 M23:M29">
    <cfRule type="expression" dxfId="8050" priority="2116">
      <formula>$C14&lt;$E$3</formula>
    </cfRule>
  </conditionalFormatting>
  <conditionalFormatting sqref="M14:M20 M32:M38 M41:M47 M23:M29">
    <cfRule type="expression" dxfId="8049" priority="2112">
      <formula>$C14=$E$3</formula>
    </cfRule>
    <cfRule type="expression" dxfId="8048" priority="2113">
      <formula>$C14&lt;$E$3</formula>
    </cfRule>
    <cfRule type="cellIs" dxfId="8047" priority="2114" operator="equal">
      <formula>0</formula>
    </cfRule>
    <cfRule type="expression" dxfId="8046" priority="2115">
      <formula>$C14&gt;$E$3</formula>
    </cfRule>
  </conditionalFormatting>
  <conditionalFormatting sqref="M14:M20 M32:M38 M41:M47 M23:M29">
    <cfRule type="expression" dxfId="8045" priority="2111">
      <formula>$C14&lt;$E$3</formula>
    </cfRule>
  </conditionalFormatting>
  <conditionalFormatting sqref="M14:M20 M32:M38 M41:M47 M23:M29">
    <cfRule type="expression" dxfId="8044" priority="2107">
      <formula>$C14=$E$3</formula>
    </cfRule>
    <cfRule type="expression" dxfId="8043" priority="2108">
      <formula>$C14&lt;$E$3</formula>
    </cfRule>
    <cfRule type="cellIs" dxfId="8042" priority="2109" operator="equal">
      <formula>0</formula>
    </cfRule>
    <cfRule type="expression" dxfId="8041" priority="2110">
      <formula>$C14&gt;$E$3</formula>
    </cfRule>
  </conditionalFormatting>
  <conditionalFormatting sqref="M14:M20 M32:M38 M41:M47 M23:M29">
    <cfRule type="expression" dxfId="8040" priority="2106">
      <formula>$C14&lt;$E$3</formula>
    </cfRule>
  </conditionalFormatting>
  <conditionalFormatting sqref="M14:M20 M32:M38 M41:M47 M23:M29">
    <cfRule type="expression" dxfId="8039" priority="2102">
      <formula>$C14=$E$3</formula>
    </cfRule>
    <cfRule type="expression" dxfId="8038" priority="2103">
      <formula>$C14&lt;$E$3</formula>
    </cfRule>
    <cfRule type="cellIs" dxfId="8037" priority="2104" operator="equal">
      <formula>0</formula>
    </cfRule>
    <cfRule type="expression" dxfId="8036" priority="2105">
      <formula>$C14&gt;$E$3</formula>
    </cfRule>
  </conditionalFormatting>
  <conditionalFormatting sqref="M14:M20 M32:M38 M41:M47 M23:M29">
    <cfRule type="expression" dxfId="8035" priority="2101">
      <formula>$E14=""</formula>
    </cfRule>
  </conditionalFormatting>
  <conditionalFormatting sqref="M14:M20 M32:M38 M41:M47 M23:M29">
    <cfRule type="expression" dxfId="8034" priority="2099">
      <formula>$E14=""</formula>
    </cfRule>
  </conditionalFormatting>
  <conditionalFormatting sqref="M32:M38 M41:M47 M14:M20 M23:M29">
    <cfRule type="expression" dxfId="8033" priority="2098">
      <formula>$E14=""</formula>
    </cfRule>
  </conditionalFormatting>
  <conditionalFormatting sqref="M14:M20 M32:M38 M41:M47 M23:M29">
    <cfRule type="expression" dxfId="8032" priority="2097">
      <formula>$C14&lt;$E$3</formula>
    </cfRule>
  </conditionalFormatting>
  <conditionalFormatting sqref="M14:M20 M32:M38 M41:M47 M23:M29">
    <cfRule type="expression" dxfId="8031" priority="2096">
      <formula>$E14=""</formula>
    </cfRule>
  </conditionalFormatting>
  <conditionalFormatting sqref="M14:M20 M32:M38 M41:M47 M23:M29">
    <cfRule type="expression" dxfId="8030" priority="2095">
      <formula>$C14&lt;$E$3</formula>
    </cfRule>
  </conditionalFormatting>
  <conditionalFormatting sqref="M14:M20 M32:M38 M41:M47 M23:M29">
    <cfRule type="expression" dxfId="8029" priority="2094">
      <formula>$E14=""</formula>
    </cfRule>
  </conditionalFormatting>
  <conditionalFormatting sqref="M14:M20 M32:M38 M41:M47 M23:M29">
    <cfRule type="expression" dxfId="8028" priority="2092">
      <formula>$E14=""</formula>
    </cfRule>
  </conditionalFormatting>
  <conditionalFormatting sqref="K37">
    <cfRule type="expression" dxfId="8027" priority="1797">
      <formula>$C37&lt;$E$3</formula>
    </cfRule>
  </conditionalFormatting>
  <conditionalFormatting sqref="K37">
    <cfRule type="expression" dxfId="8026" priority="1793">
      <formula>$C37=$E$3</formula>
    </cfRule>
    <cfRule type="expression" dxfId="8025" priority="1794">
      <formula>$C37&lt;$E$3</formula>
    </cfRule>
    <cfRule type="cellIs" dxfId="8024" priority="1795" operator="equal">
      <formula>0</formula>
    </cfRule>
    <cfRule type="expression" dxfId="8023" priority="1796">
      <formula>$C37&gt;$E$3</formula>
    </cfRule>
  </conditionalFormatting>
  <conditionalFormatting sqref="K37">
    <cfRule type="expression" dxfId="8022" priority="1792">
      <formula>$C37&lt;$E$3</formula>
    </cfRule>
  </conditionalFormatting>
  <conditionalFormatting sqref="K37">
    <cfRule type="expression" dxfId="8021" priority="1788">
      <formula>$C37=$E$3</formula>
    </cfRule>
    <cfRule type="expression" dxfId="8020" priority="1789">
      <formula>$C37&lt;$E$3</formula>
    </cfRule>
    <cfRule type="cellIs" dxfId="8019" priority="1790" operator="equal">
      <formula>0</formula>
    </cfRule>
    <cfRule type="expression" dxfId="8018" priority="1791">
      <formula>$C37&gt;$E$3</formula>
    </cfRule>
  </conditionalFormatting>
  <conditionalFormatting sqref="K37">
    <cfRule type="expression" dxfId="8017" priority="1767">
      <formula>$C37&lt;$E$3</formula>
    </cfRule>
  </conditionalFormatting>
  <conditionalFormatting sqref="K37">
    <cfRule type="expression" dxfId="8016" priority="1763">
      <formula>$C37=$E$3</formula>
    </cfRule>
    <cfRule type="expression" dxfId="8015" priority="1764">
      <formula>$C37&lt;$E$3</formula>
    </cfRule>
    <cfRule type="cellIs" dxfId="8014" priority="1765" operator="equal">
      <formula>0</formula>
    </cfRule>
    <cfRule type="expression" dxfId="8013" priority="1766">
      <formula>$C37&gt;$E$3</formula>
    </cfRule>
  </conditionalFormatting>
  <conditionalFormatting sqref="K37">
    <cfRule type="expression" dxfId="8012" priority="1762">
      <formula>$C37&lt;$E$3</formula>
    </cfRule>
  </conditionalFormatting>
  <conditionalFormatting sqref="K37">
    <cfRule type="expression" dxfId="8011" priority="1758">
      <formula>$C37=$E$3</formula>
    </cfRule>
    <cfRule type="expression" dxfId="8010" priority="1759">
      <formula>$C37&lt;$E$3</formula>
    </cfRule>
    <cfRule type="cellIs" dxfId="8009" priority="1760" operator="equal">
      <formula>0</formula>
    </cfRule>
    <cfRule type="expression" dxfId="8008" priority="1761">
      <formula>$C37&gt;$E$3</formula>
    </cfRule>
  </conditionalFormatting>
  <conditionalFormatting sqref="J39:N40">
    <cfRule type="expression" dxfId="8007" priority="2091">
      <formula>$L$40=0</formula>
    </cfRule>
  </conditionalFormatting>
  <conditionalFormatting sqref="K36:K38">
    <cfRule type="cellIs" dxfId="8006" priority="1816" stopIfTrue="1" operator="lessThan">
      <formula>0</formula>
    </cfRule>
  </conditionalFormatting>
  <conditionalFormatting sqref="K36:K38">
    <cfRule type="expression" dxfId="8005" priority="1811">
      <formula>$C36=$E$3</formula>
    </cfRule>
    <cfRule type="expression" dxfId="8004" priority="1812">
      <formula>$C36&lt;$E$3</formula>
    </cfRule>
    <cfRule type="cellIs" dxfId="8003" priority="1813" operator="equal">
      <formula>0</formula>
    </cfRule>
    <cfRule type="expression" dxfId="8002" priority="1815">
      <formula>$C36&gt;$E$3</formula>
    </cfRule>
  </conditionalFormatting>
  <conditionalFormatting sqref="K36:K38">
    <cfRule type="expression" dxfId="8001" priority="1810">
      <formula>$E36=""</formula>
    </cfRule>
  </conditionalFormatting>
  <conditionalFormatting sqref="K36:K38">
    <cfRule type="expression" dxfId="8000" priority="1809">
      <formula>$E36=""</formula>
    </cfRule>
  </conditionalFormatting>
  <conditionalFormatting sqref="K36:K38">
    <cfRule type="expression" dxfId="7999" priority="1808">
      <formula>$E36=""</formula>
    </cfRule>
  </conditionalFormatting>
  <conditionalFormatting sqref="K37">
    <cfRule type="expression" dxfId="7998" priority="1807">
      <formula>$C37&lt;$E$3</formula>
    </cfRule>
  </conditionalFormatting>
  <conditionalFormatting sqref="K37">
    <cfRule type="expression" dxfId="7997" priority="1803">
      <formula>$C37=$E$3</formula>
    </cfRule>
    <cfRule type="expression" dxfId="7996" priority="1804">
      <formula>$C37&lt;$E$3</formula>
    </cfRule>
    <cfRule type="cellIs" dxfId="7995" priority="1805" operator="equal">
      <formula>0</formula>
    </cfRule>
    <cfRule type="expression" dxfId="7994" priority="1806">
      <formula>$C37&gt;$E$3</formula>
    </cfRule>
  </conditionalFormatting>
  <conditionalFormatting sqref="K37">
    <cfRule type="expression" dxfId="7993" priority="1802">
      <formula>$C37&lt;$E$3</formula>
    </cfRule>
  </conditionalFormatting>
  <conditionalFormatting sqref="K37">
    <cfRule type="expression" dxfId="7992" priority="1798">
      <formula>$C37=$E$3</formula>
    </cfRule>
    <cfRule type="expression" dxfId="7991" priority="1799">
      <formula>$C37&lt;$E$3</formula>
    </cfRule>
    <cfRule type="cellIs" dxfId="7990" priority="1800" operator="equal">
      <formula>0</formula>
    </cfRule>
    <cfRule type="expression" dxfId="7989" priority="1801">
      <formula>$C37&gt;$E$3</formula>
    </cfRule>
  </conditionalFormatting>
  <conditionalFormatting sqref="K37">
    <cfRule type="expression" dxfId="7988" priority="1787">
      <formula>$E37=""</formula>
    </cfRule>
  </conditionalFormatting>
  <conditionalFormatting sqref="K37">
    <cfRule type="expression" dxfId="7987" priority="1786">
      <formula>$C37&lt;$E$3</formula>
    </cfRule>
  </conditionalFormatting>
  <conditionalFormatting sqref="K37">
    <cfRule type="expression" dxfId="7986" priority="1785">
      <formula>$E37=""</formula>
    </cfRule>
  </conditionalFormatting>
  <conditionalFormatting sqref="K37">
    <cfRule type="expression" dxfId="7985" priority="1784">
      <formula>$E37=""</formula>
    </cfRule>
  </conditionalFormatting>
  <conditionalFormatting sqref="K37">
    <cfRule type="expression" dxfId="7984" priority="1783">
      <formula>$C37&lt;$E$3</formula>
    </cfRule>
  </conditionalFormatting>
  <conditionalFormatting sqref="K37">
    <cfRule type="expression" dxfId="7983" priority="1782">
      <formula>$E37=""</formula>
    </cfRule>
  </conditionalFormatting>
  <conditionalFormatting sqref="K37">
    <cfRule type="expression" dxfId="7982" priority="1781">
      <formula>$C37&lt;$E$3</formula>
    </cfRule>
  </conditionalFormatting>
  <conditionalFormatting sqref="K37">
    <cfRule type="expression" dxfId="7981" priority="1780">
      <formula>$E37=""</formula>
    </cfRule>
  </conditionalFormatting>
  <conditionalFormatting sqref="K37">
    <cfRule type="expression" dxfId="7980" priority="1778">
      <formula>$E37=""</formula>
    </cfRule>
  </conditionalFormatting>
  <conditionalFormatting sqref="K37">
    <cfRule type="expression" dxfId="7979" priority="1777">
      <formula>$C37&lt;$E$3</formula>
    </cfRule>
  </conditionalFormatting>
  <conditionalFormatting sqref="K37">
    <cfRule type="expression" dxfId="7978" priority="1773">
      <formula>$C37=$E$3</formula>
    </cfRule>
    <cfRule type="expression" dxfId="7977" priority="1774">
      <formula>$C37&lt;$E$3</formula>
    </cfRule>
    <cfRule type="cellIs" dxfId="7976" priority="1775" operator="equal">
      <formula>0</formula>
    </cfRule>
    <cfRule type="expression" dxfId="7975" priority="1776">
      <formula>$C37&gt;$E$3</formula>
    </cfRule>
  </conditionalFormatting>
  <conditionalFormatting sqref="K37">
    <cfRule type="expression" dxfId="7974" priority="1772">
      <formula>$C37&lt;$E$3</formula>
    </cfRule>
  </conditionalFormatting>
  <conditionalFormatting sqref="K37">
    <cfRule type="expression" dxfId="7973" priority="1768">
      <formula>$C37=$E$3</formula>
    </cfRule>
    <cfRule type="expression" dxfId="7972" priority="1769">
      <formula>$C37&lt;$E$3</formula>
    </cfRule>
    <cfRule type="cellIs" dxfId="7971" priority="1770" operator="equal">
      <formula>0</formula>
    </cfRule>
    <cfRule type="expression" dxfId="7970" priority="1771">
      <formula>$C37&gt;$E$3</formula>
    </cfRule>
  </conditionalFormatting>
  <conditionalFormatting sqref="K37">
    <cfRule type="expression" dxfId="7969" priority="1757">
      <formula>$E37=""</formula>
    </cfRule>
  </conditionalFormatting>
  <conditionalFormatting sqref="K37">
    <cfRule type="expression" dxfId="7968" priority="1756">
      <formula>$C37&lt;$E$3</formula>
    </cfRule>
  </conditionalFormatting>
  <conditionalFormatting sqref="K37">
    <cfRule type="expression" dxfId="7967" priority="1755">
      <formula>$E37=""</formula>
    </cfRule>
  </conditionalFormatting>
  <conditionalFormatting sqref="K37">
    <cfRule type="expression" dxfId="7966" priority="1754">
      <formula>$E37=""</formula>
    </cfRule>
  </conditionalFormatting>
  <conditionalFormatting sqref="K37">
    <cfRule type="expression" dxfId="7965" priority="1753">
      <formula>$C37&lt;$E$3</formula>
    </cfRule>
  </conditionalFormatting>
  <conditionalFormatting sqref="K37">
    <cfRule type="expression" dxfId="7964" priority="1752">
      <formula>$E37=""</formula>
    </cfRule>
  </conditionalFormatting>
  <conditionalFormatting sqref="K37">
    <cfRule type="expression" dxfId="7963" priority="1751">
      <formula>$C37&lt;$E$3</formula>
    </cfRule>
  </conditionalFormatting>
  <conditionalFormatting sqref="K37">
    <cfRule type="expression" dxfId="7962" priority="1750">
      <formula>$E37=""</formula>
    </cfRule>
  </conditionalFormatting>
  <conditionalFormatting sqref="K37">
    <cfRule type="expression" dxfId="7961" priority="1749">
      <formula>$C37&lt;$E$3</formula>
    </cfRule>
  </conditionalFormatting>
  <conditionalFormatting sqref="K37">
    <cfRule type="expression" dxfId="7960" priority="1748">
      <formula>$E37=""</formula>
    </cfRule>
  </conditionalFormatting>
  <conditionalFormatting sqref="K36:K38">
    <cfRule type="expression" dxfId="7959" priority="1686">
      <formula>$C36&lt;$E$3</formula>
    </cfRule>
  </conditionalFormatting>
  <conditionalFormatting sqref="K36:K38">
    <cfRule type="expression" dxfId="7958" priority="1683">
      <formula>$C36=$E$3</formula>
    </cfRule>
    <cfRule type="expression" dxfId="7957" priority="1684">
      <formula>$C36&lt;$E$3</formula>
    </cfRule>
    <cfRule type="cellIs" dxfId="7956" priority="1685" operator="equal">
      <formula>0</formula>
    </cfRule>
    <cfRule type="expression" dxfId="7955" priority="1687">
      <formula>$C36&gt;$E$3</formula>
    </cfRule>
  </conditionalFormatting>
  <conditionalFormatting sqref="K36:K38">
    <cfRule type="expression" dxfId="7954" priority="1682">
      <formula>$E36=""</formula>
    </cfRule>
  </conditionalFormatting>
  <conditionalFormatting sqref="K36:K38">
    <cfRule type="expression" dxfId="7953" priority="1681">
      <formula>$E36=""</formula>
    </cfRule>
  </conditionalFormatting>
  <conditionalFormatting sqref="K36:K38">
    <cfRule type="expression" dxfId="7952" priority="1680">
      <formula>$E36=""</formula>
    </cfRule>
  </conditionalFormatting>
  <conditionalFormatting sqref="K41:K47">
    <cfRule type="cellIs" dxfId="7951" priority="1679" stopIfTrue="1" operator="lessThan">
      <formula>0</formula>
    </cfRule>
  </conditionalFormatting>
  <conditionalFormatting sqref="K41:K47">
    <cfRule type="expression" dxfId="7950" priority="1674">
      <formula>$C41=$E$3</formula>
    </cfRule>
    <cfRule type="expression" dxfId="7949" priority="1675">
      <formula>$C41&lt;$E$3</formula>
    </cfRule>
    <cfRule type="cellIs" dxfId="7948" priority="1676" operator="equal">
      <formula>0</formula>
    </cfRule>
    <cfRule type="expression" dxfId="7947" priority="1678">
      <formula>$C41&gt;$E$3</formula>
    </cfRule>
  </conditionalFormatting>
  <conditionalFormatting sqref="K41:K47">
    <cfRule type="expression" dxfId="7946" priority="1673">
      <formula>$E41=""</formula>
    </cfRule>
  </conditionalFormatting>
  <conditionalFormatting sqref="K41:K47">
    <cfRule type="expression" dxfId="7945" priority="1672">
      <formula>$E41=""</formula>
    </cfRule>
  </conditionalFormatting>
  <conditionalFormatting sqref="K41:K47">
    <cfRule type="expression" dxfId="7944" priority="1671">
      <formula>$E41=""</formula>
    </cfRule>
  </conditionalFormatting>
  <conditionalFormatting sqref="K46">
    <cfRule type="expression" dxfId="7943" priority="1670">
      <formula>$C46&lt;$E$3</formula>
    </cfRule>
  </conditionalFormatting>
  <conditionalFormatting sqref="K46">
    <cfRule type="expression" dxfId="7942" priority="1666">
      <formula>$C46=$E$3</formula>
    </cfRule>
    <cfRule type="expression" dxfId="7941" priority="1667">
      <formula>$C46&lt;$E$3</formula>
    </cfRule>
    <cfRule type="cellIs" dxfId="7940" priority="1668" operator="equal">
      <formula>0</formula>
    </cfRule>
    <cfRule type="expression" dxfId="7939" priority="1669">
      <formula>$C46&gt;$E$3</formula>
    </cfRule>
  </conditionalFormatting>
  <conditionalFormatting sqref="K46">
    <cfRule type="expression" dxfId="7938" priority="1665">
      <formula>$C46&lt;$E$3</formula>
    </cfRule>
  </conditionalFormatting>
  <conditionalFormatting sqref="K46">
    <cfRule type="expression" dxfId="7937" priority="1661">
      <formula>$C46=$E$3</formula>
    </cfRule>
    <cfRule type="expression" dxfId="7936" priority="1662">
      <formula>$C46&lt;$E$3</formula>
    </cfRule>
    <cfRule type="cellIs" dxfId="7935" priority="1663" operator="equal">
      <formula>0</formula>
    </cfRule>
    <cfRule type="expression" dxfId="7934" priority="1664">
      <formula>$C46&gt;$E$3</formula>
    </cfRule>
  </conditionalFormatting>
  <conditionalFormatting sqref="K46">
    <cfRule type="expression" dxfId="7933" priority="1660">
      <formula>$C46&lt;$E$3</formula>
    </cfRule>
  </conditionalFormatting>
  <conditionalFormatting sqref="K46">
    <cfRule type="expression" dxfId="7932" priority="1656">
      <formula>$C46=$E$3</formula>
    </cfRule>
    <cfRule type="expression" dxfId="7931" priority="1657">
      <formula>$C46&lt;$E$3</formula>
    </cfRule>
    <cfRule type="cellIs" dxfId="7930" priority="1658" operator="equal">
      <formula>0</formula>
    </cfRule>
    <cfRule type="expression" dxfId="7929" priority="1659">
      <formula>$C46&gt;$E$3</formula>
    </cfRule>
  </conditionalFormatting>
  <conditionalFormatting sqref="K46">
    <cfRule type="expression" dxfId="7928" priority="1655">
      <formula>$C46&lt;$E$3</formula>
    </cfRule>
  </conditionalFormatting>
  <conditionalFormatting sqref="K46">
    <cfRule type="expression" dxfId="7927" priority="1651">
      <formula>$C46=$E$3</formula>
    </cfRule>
    <cfRule type="expression" dxfId="7926" priority="1652">
      <formula>$C46&lt;$E$3</formula>
    </cfRule>
    <cfRule type="cellIs" dxfId="7925" priority="1653" operator="equal">
      <formula>0</formula>
    </cfRule>
    <cfRule type="expression" dxfId="7924" priority="1654">
      <formula>$C46&gt;$E$3</formula>
    </cfRule>
  </conditionalFormatting>
  <conditionalFormatting sqref="K46">
    <cfRule type="expression" dxfId="7923" priority="1650">
      <formula>$E46=""</formula>
    </cfRule>
  </conditionalFormatting>
  <conditionalFormatting sqref="K46">
    <cfRule type="expression" dxfId="7922" priority="1649">
      <formula>$C46&lt;$E$3</formula>
    </cfRule>
  </conditionalFormatting>
  <conditionalFormatting sqref="K46">
    <cfRule type="expression" dxfId="7921" priority="1648">
      <formula>$E46=""</formula>
    </cfRule>
  </conditionalFormatting>
  <conditionalFormatting sqref="K46">
    <cfRule type="expression" dxfId="7920" priority="1647">
      <formula>$E46=""</formula>
    </cfRule>
  </conditionalFormatting>
  <conditionalFormatting sqref="K46">
    <cfRule type="expression" dxfId="7919" priority="1646">
      <formula>$C46&lt;$E$3</formula>
    </cfRule>
  </conditionalFormatting>
  <conditionalFormatting sqref="K46">
    <cfRule type="expression" dxfId="7918" priority="1645">
      <formula>$E46=""</formula>
    </cfRule>
  </conditionalFormatting>
  <conditionalFormatting sqref="K46">
    <cfRule type="expression" dxfId="7917" priority="1644">
      <formula>$C46&lt;$E$3</formula>
    </cfRule>
  </conditionalFormatting>
  <conditionalFormatting sqref="K46">
    <cfRule type="expression" dxfId="7916" priority="1643">
      <formula>$E46=""</formula>
    </cfRule>
  </conditionalFormatting>
  <conditionalFormatting sqref="K46">
    <cfRule type="expression" dxfId="7915" priority="1641">
      <formula>$E46=""</formula>
    </cfRule>
  </conditionalFormatting>
  <conditionalFormatting sqref="K46">
    <cfRule type="expression" dxfId="7914" priority="1640">
      <formula>$C46&lt;$E$3</formula>
    </cfRule>
  </conditionalFormatting>
  <conditionalFormatting sqref="K46">
    <cfRule type="expression" dxfId="7913" priority="1636">
      <formula>$C46=$E$3</formula>
    </cfRule>
    <cfRule type="expression" dxfId="7912" priority="1637">
      <formula>$C46&lt;$E$3</formula>
    </cfRule>
    <cfRule type="cellIs" dxfId="7911" priority="1638" operator="equal">
      <formula>0</formula>
    </cfRule>
    <cfRule type="expression" dxfId="7910" priority="1639">
      <formula>$C46&gt;$E$3</formula>
    </cfRule>
  </conditionalFormatting>
  <conditionalFormatting sqref="K46">
    <cfRule type="expression" dxfId="7909" priority="1635">
      <formula>$C46&lt;$E$3</formula>
    </cfRule>
  </conditionalFormatting>
  <conditionalFormatting sqref="K46">
    <cfRule type="expression" dxfId="7908" priority="1631">
      <formula>$C46=$E$3</formula>
    </cfRule>
    <cfRule type="expression" dxfId="7907" priority="1632">
      <formula>$C46&lt;$E$3</formula>
    </cfRule>
    <cfRule type="cellIs" dxfId="7906" priority="1633" operator="equal">
      <formula>0</formula>
    </cfRule>
    <cfRule type="expression" dxfId="7905" priority="1634">
      <formula>$C46&gt;$E$3</formula>
    </cfRule>
  </conditionalFormatting>
  <conditionalFormatting sqref="K46">
    <cfRule type="expression" dxfId="7904" priority="1630">
      <formula>$C46&lt;$E$3</formula>
    </cfRule>
  </conditionalFormatting>
  <conditionalFormatting sqref="K46">
    <cfRule type="expression" dxfId="7903" priority="1626">
      <formula>$C46=$E$3</formula>
    </cfRule>
    <cfRule type="expression" dxfId="7902" priority="1627">
      <formula>$C46&lt;$E$3</formula>
    </cfRule>
    <cfRule type="cellIs" dxfId="7901" priority="1628" operator="equal">
      <formula>0</formula>
    </cfRule>
    <cfRule type="expression" dxfId="7900" priority="1629">
      <formula>$C46&gt;$E$3</formula>
    </cfRule>
  </conditionalFormatting>
  <conditionalFormatting sqref="K46">
    <cfRule type="expression" dxfId="7899" priority="1625">
      <formula>$C46&lt;$E$3</formula>
    </cfRule>
  </conditionalFormatting>
  <conditionalFormatting sqref="K46">
    <cfRule type="expression" dxfId="7898" priority="1621">
      <formula>$C46=$E$3</formula>
    </cfRule>
    <cfRule type="expression" dxfId="7897" priority="1622">
      <formula>$C46&lt;$E$3</formula>
    </cfRule>
    <cfRule type="cellIs" dxfId="7896" priority="1623" operator="equal">
      <formula>0</formula>
    </cfRule>
    <cfRule type="expression" dxfId="7895" priority="1624">
      <formula>$C46&gt;$E$3</formula>
    </cfRule>
  </conditionalFormatting>
  <conditionalFormatting sqref="K46">
    <cfRule type="expression" dxfId="7894" priority="1620">
      <formula>$E46=""</formula>
    </cfRule>
  </conditionalFormatting>
  <conditionalFormatting sqref="K46">
    <cfRule type="expression" dxfId="7893" priority="1619">
      <formula>$C46&lt;$E$3</formula>
    </cfRule>
  </conditionalFormatting>
  <conditionalFormatting sqref="K46">
    <cfRule type="expression" dxfId="7892" priority="1618">
      <formula>$E46=""</formula>
    </cfRule>
  </conditionalFormatting>
  <conditionalFormatting sqref="K46">
    <cfRule type="expression" dxfId="7891" priority="1617">
      <formula>$E46=""</formula>
    </cfRule>
  </conditionalFormatting>
  <conditionalFormatting sqref="K46">
    <cfRule type="expression" dxfId="7890" priority="1616">
      <formula>$C46&lt;$E$3</formula>
    </cfRule>
  </conditionalFormatting>
  <conditionalFormatting sqref="K46">
    <cfRule type="expression" dxfId="7889" priority="1615">
      <formula>$E46=""</formula>
    </cfRule>
  </conditionalFormatting>
  <conditionalFormatting sqref="K46">
    <cfRule type="expression" dxfId="7888" priority="1614">
      <formula>$C46&lt;$E$3</formula>
    </cfRule>
  </conditionalFormatting>
  <conditionalFormatting sqref="K46">
    <cfRule type="expression" dxfId="7887" priority="1613">
      <formula>$E46=""</formula>
    </cfRule>
  </conditionalFormatting>
  <conditionalFormatting sqref="K46">
    <cfRule type="expression" dxfId="7886" priority="1612">
      <formula>$C46&lt;$E$3</formula>
    </cfRule>
  </conditionalFormatting>
  <conditionalFormatting sqref="K46">
    <cfRule type="expression" dxfId="7885" priority="1611">
      <formula>$E46=""</formula>
    </cfRule>
  </conditionalFormatting>
  <conditionalFormatting sqref="N20 N18 N16">
    <cfRule type="cellIs" dxfId="7884" priority="1542" stopIfTrue="1" operator="lessThan">
      <formula>0</formula>
    </cfRule>
  </conditionalFormatting>
  <conditionalFormatting sqref="N23 N27:N28">
    <cfRule type="cellIs" dxfId="7883" priority="1541" stopIfTrue="1" operator="lessThan">
      <formula>0</formula>
    </cfRule>
  </conditionalFormatting>
  <conditionalFormatting sqref="N32:N34 N36 N38">
    <cfRule type="cellIs" dxfId="7882" priority="1540" stopIfTrue="1" operator="lessThan">
      <formula>0</formula>
    </cfRule>
  </conditionalFormatting>
  <conditionalFormatting sqref="H15">
    <cfRule type="cellIs" dxfId="7881" priority="1534" stopIfTrue="1" operator="lessThan">
      <formula>0</formula>
    </cfRule>
  </conditionalFormatting>
  <conditionalFormatting sqref="H15">
    <cfRule type="expression" dxfId="7880" priority="1532">
      <formula>$C15&lt;$E$3</formula>
    </cfRule>
  </conditionalFormatting>
  <conditionalFormatting sqref="H15">
    <cfRule type="expression" dxfId="7879" priority="1529">
      <formula>$C15=$E$3</formula>
    </cfRule>
    <cfRule type="expression" dxfId="7878" priority="1530">
      <formula>$C15&lt;$E$3</formula>
    </cfRule>
    <cfRule type="cellIs" dxfId="7877" priority="1531" operator="equal">
      <formula>0</formula>
    </cfRule>
    <cfRule type="expression" dxfId="7876" priority="1533">
      <formula>$C15&gt;$E$3</formula>
    </cfRule>
  </conditionalFormatting>
  <conditionalFormatting sqref="H15">
    <cfRule type="expression" dxfId="7875" priority="1528">
      <formula>$C15&lt;$E$3</formula>
    </cfRule>
  </conditionalFormatting>
  <conditionalFormatting sqref="H15">
    <cfRule type="expression" dxfId="7874" priority="1524">
      <formula>$C15=$E$3</formula>
    </cfRule>
    <cfRule type="expression" dxfId="7873" priority="1525">
      <formula>$C15&lt;$E$3</formula>
    </cfRule>
    <cfRule type="cellIs" dxfId="7872" priority="1526" operator="equal">
      <formula>0</formula>
    </cfRule>
    <cfRule type="expression" dxfId="7871" priority="1527">
      <formula>$C15&gt;$E$3</formula>
    </cfRule>
  </conditionalFormatting>
  <conditionalFormatting sqref="H15">
    <cfRule type="expression" dxfId="7870" priority="1523">
      <formula>$C15&lt;$E$3</formula>
    </cfRule>
  </conditionalFormatting>
  <conditionalFormatting sqref="H15">
    <cfRule type="expression" dxfId="7869" priority="1519">
      <formula>$C15=$E$3</formula>
    </cfRule>
    <cfRule type="expression" dxfId="7868" priority="1520">
      <formula>$C15&lt;$E$3</formula>
    </cfRule>
    <cfRule type="cellIs" dxfId="7867" priority="1521" operator="equal">
      <formula>0</formula>
    </cfRule>
    <cfRule type="expression" dxfId="7866" priority="1522">
      <formula>$C15&gt;$E$3</formula>
    </cfRule>
  </conditionalFormatting>
  <conditionalFormatting sqref="H15">
    <cfRule type="expression" dxfId="7865" priority="1518">
      <formula>$C15&lt;$E$3</formula>
    </cfRule>
  </conditionalFormatting>
  <conditionalFormatting sqref="H15">
    <cfRule type="expression" dxfId="7864" priority="1514">
      <formula>$C15=$E$3</formula>
    </cfRule>
    <cfRule type="expression" dxfId="7863" priority="1515">
      <formula>$C15&lt;$E$3</formula>
    </cfRule>
    <cfRule type="cellIs" dxfId="7862" priority="1516" operator="equal">
      <formula>0</formula>
    </cfRule>
    <cfRule type="expression" dxfId="7861" priority="1517">
      <formula>$C15&gt;$E$3</formula>
    </cfRule>
  </conditionalFormatting>
  <conditionalFormatting sqref="H15">
    <cfRule type="expression" dxfId="7860" priority="1513">
      <formula>$E15=""</formula>
    </cfRule>
  </conditionalFormatting>
  <conditionalFormatting sqref="H15">
    <cfRule type="expression" dxfId="7859" priority="1512">
      <formula>$C15&lt;$E$3</formula>
    </cfRule>
  </conditionalFormatting>
  <conditionalFormatting sqref="H15">
    <cfRule type="expression" dxfId="7858" priority="1511">
      <formula>$E15=""</formula>
    </cfRule>
  </conditionalFormatting>
  <conditionalFormatting sqref="H15">
    <cfRule type="expression" dxfId="7857" priority="1510">
      <formula>$E15=""</formula>
    </cfRule>
  </conditionalFormatting>
  <conditionalFormatting sqref="H15">
    <cfRule type="expression" dxfId="7856" priority="1509">
      <formula>$C15&lt;$E$3</formula>
    </cfRule>
  </conditionalFormatting>
  <conditionalFormatting sqref="H15">
    <cfRule type="expression" dxfId="7855" priority="1508">
      <formula>$E15=""</formula>
    </cfRule>
  </conditionalFormatting>
  <conditionalFormatting sqref="H15">
    <cfRule type="expression" dxfId="7854" priority="1507">
      <formula>$C15&lt;$E$3</formula>
    </cfRule>
  </conditionalFormatting>
  <conditionalFormatting sqref="H15">
    <cfRule type="expression" dxfId="7853" priority="1506">
      <formula>$E15=""</formula>
    </cfRule>
  </conditionalFormatting>
  <conditionalFormatting sqref="H15">
    <cfRule type="expression" dxfId="7852" priority="1505">
      <formula>$C15&lt;$E$3</formula>
    </cfRule>
  </conditionalFormatting>
  <conditionalFormatting sqref="H15">
    <cfRule type="expression" dxfId="7851" priority="1504">
      <formula>$E15=""</formula>
    </cfRule>
  </conditionalFormatting>
  <conditionalFormatting sqref="K15">
    <cfRule type="cellIs" dxfId="7850" priority="1503" stopIfTrue="1" operator="lessThan">
      <formula>0</formula>
    </cfRule>
  </conditionalFormatting>
  <conditionalFormatting sqref="K15">
    <cfRule type="expression" dxfId="7849" priority="1501">
      <formula>$C15&lt;$E$3</formula>
    </cfRule>
  </conditionalFormatting>
  <conditionalFormatting sqref="K15">
    <cfRule type="expression" dxfId="7848" priority="1498">
      <formula>$C15=$E$3</formula>
    </cfRule>
    <cfRule type="expression" dxfId="7847" priority="1499">
      <formula>$C15&lt;$E$3</formula>
    </cfRule>
    <cfRule type="cellIs" dxfId="7846" priority="1500" operator="equal">
      <formula>0</formula>
    </cfRule>
    <cfRule type="expression" dxfId="7845" priority="1502">
      <formula>$C15&gt;$E$3</formula>
    </cfRule>
  </conditionalFormatting>
  <conditionalFormatting sqref="K15">
    <cfRule type="expression" dxfId="7844" priority="1497">
      <formula>$E15=""</formula>
    </cfRule>
  </conditionalFormatting>
  <conditionalFormatting sqref="K15">
    <cfRule type="expression" dxfId="7843" priority="1496">
      <formula>$E15=""</formula>
    </cfRule>
  </conditionalFormatting>
  <conditionalFormatting sqref="K15">
    <cfRule type="expression" dxfId="7842" priority="1495">
      <formula>$E15=""</formula>
    </cfRule>
  </conditionalFormatting>
  <conditionalFormatting sqref="K15">
    <cfRule type="expression" dxfId="7841" priority="1484">
      <formula>$C15&lt;$E$3</formula>
    </cfRule>
  </conditionalFormatting>
  <conditionalFormatting sqref="K15">
    <cfRule type="expression" dxfId="7840" priority="1481">
      <formula>$C15=$E$3</formula>
    </cfRule>
    <cfRule type="expression" dxfId="7839" priority="1482">
      <formula>$C15&lt;$E$3</formula>
    </cfRule>
    <cfRule type="cellIs" dxfId="7838" priority="1483" operator="equal">
      <formula>0</formula>
    </cfRule>
    <cfRule type="expression" dxfId="7837" priority="1485">
      <formula>$C15&gt;$E$3</formula>
    </cfRule>
  </conditionalFormatting>
  <conditionalFormatting sqref="K15">
    <cfRule type="expression" dxfId="7836" priority="1480">
      <formula>$E15=""</formula>
    </cfRule>
  </conditionalFormatting>
  <conditionalFormatting sqref="K15">
    <cfRule type="expression" dxfId="7835" priority="1479">
      <formula>$E15=""</formula>
    </cfRule>
  </conditionalFormatting>
  <conditionalFormatting sqref="K15">
    <cfRule type="expression" dxfId="7834" priority="1478">
      <formula>$E15=""</formula>
    </cfRule>
  </conditionalFormatting>
  <conditionalFormatting sqref="H17">
    <cfRule type="cellIs" dxfId="7833" priority="1477" stopIfTrue="1" operator="lessThan">
      <formula>0</formula>
    </cfRule>
  </conditionalFormatting>
  <conditionalFormatting sqref="H17">
    <cfRule type="expression" dxfId="7832" priority="1475">
      <formula>$C17&lt;$E$3</formula>
    </cfRule>
  </conditionalFormatting>
  <conditionalFormatting sqref="H17">
    <cfRule type="expression" dxfId="7831" priority="1472">
      <formula>$C17=$E$3</formula>
    </cfRule>
    <cfRule type="expression" dxfId="7830" priority="1473">
      <formula>$C17&lt;$E$3</formula>
    </cfRule>
    <cfRule type="cellIs" dxfId="7829" priority="1474" operator="equal">
      <formula>0</formula>
    </cfRule>
    <cfRule type="expression" dxfId="7828" priority="1476">
      <formula>$C17&gt;$E$3</formula>
    </cfRule>
  </conditionalFormatting>
  <conditionalFormatting sqref="H17">
    <cfRule type="expression" dxfId="7827" priority="1471">
      <formula>$C17&lt;$E$3</formula>
    </cfRule>
  </conditionalFormatting>
  <conditionalFormatting sqref="H17">
    <cfRule type="expression" dxfId="7826" priority="1467">
      <formula>$C17=$E$3</formula>
    </cfRule>
    <cfRule type="expression" dxfId="7825" priority="1468">
      <formula>$C17&lt;$E$3</formula>
    </cfRule>
    <cfRule type="cellIs" dxfId="7824" priority="1469" operator="equal">
      <formula>0</formula>
    </cfRule>
    <cfRule type="expression" dxfId="7823" priority="1470">
      <formula>$C17&gt;$E$3</formula>
    </cfRule>
  </conditionalFormatting>
  <conditionalFormatting sqref="H17">
    <cfRule type="expression" dxfId="7822" priority="1466">
      <formula>$C17&lt;$E$3</formula>
    </cfRule>
  </conditionalFormatting>
  <conditionalFormatting sqref="H17">
    <cfRule type="expression" dxfId="7821" priority="1462">
      <formula>$C17=$E$3</formula>
    </cfRule>
    <cfRule type="expression" dxfId="7820" priority="1463">
      <formula>$C17&lt;$E$3</formula>
    </cfRule>
    <cfRule type="cellIs" dxfId="7819" priority="1464" operator="equal">
      <formula>0</formula>
    </cfRule>
    <cfRule type="expression" dxfId="7818" priority="1465">
      <formula>$C17&gt;$E$3</formula>
    </cfRule>
  </conditionalFormatting>
  <conditionalFormatting sqref="H17">
    <cfRule type="expression" dxfId="7817" priority="1461">
      <formula>$C17&lt;$E$3</formula>
    </cfRule>
  </conditionalFormatting>
  <conditionalFormatting sqref="H17">
    <cfRule type="expression" dxfId="7816" priority="1457">
      <formula>$C17=$E$3</formula>
    </cfRule>
    <cfRule type="expression" dxfId="7815" priority="1458">
      <formula>$C17&lt;$E$3</formula>
    </cfRule>
    <cfRule type="cellIs" dxfId="7814" priority="1459" operator="equal">
      <formula>0</formula>
    </cfRule>
    <cfRule type="expression" dxfId="7813" priority="1460">
      <formula>$C17&gt;$E$3</formula>
    </cfRule>
  </conditionalFormatting>
  <conditionalFormatting sqref="H17">
    <cfRule type="expression" dxfId="7812" priority="1456">
      <formula>$E17=""</formula>
    </cfRule>
  </conditionalFormatting>
  <conditionalFormatting sqref="H17">
    <cfRule type="expression" dxfId="7811" priority="1455">
      <formula>$C17&lt;$E$3</formula>
    </cfRule>
  </conditionalFormatting>
  <conditionalFormatting sqref="H17">
    <cfRule type="expression" dxfId="7810" priority="1454">
      <formula>$E17=""</formula>
    </cfRule>
  </conditionalFormatting>
  <conditionalFormatting sqref="H17">
    <cfRule type="expression" dxfId="7809" priority="1453">
      <formula>$E17=""</formula>
    </cfRule>
  </conditionalFormatting>
  <conditionalFormatting sqref="H17">
    <cfRule type="expression" dxfId="7808" priority="1452">
      <formula>$C17&lt;$E$3</formula>
    </cfRule>
  </conditionalFormatting>
  <conditionalFormatting sqref="H17">
    <cfRule type="expression" dxfId="7807" priority="1451">
      <formula>$E17=""</formula>
    </cfRule>
  </conditionalFormatting>
  <conditionalFormatting sqref="H17">
    <cfRule type="expression" dxfId="7806" priority="1450">
      <formula>$C17&lt;$E$3</formula>
    </cfRule>
  </conditionalFormatting>
  <conditionalFormatting sqref="H17">
    <cfRule type="expression" dxfId="7805" priority="1449">
      <formula>$E17=""</formula>
    </cfRule>
  </conditionalFormatting>
  <conditionalFormatting sqref="H17">
    <cfRule type="expression" dxfId="7804" priority="1448">
      <formula>$C17&lt;$E$3</formula>
    </cfRule>
  </conditionalFormatting>
  <conditionalFormatting sqref="H17">
    <cfRule type="expression" dxfId="7803" priority="1447">
      <formula>$E17=""</formula>
    </cfRule>
  </conditionalFormatting>
  <conditionalFormatting sqref="K17">
    <cfRule type="cellIs" dxfId="7802" priority="1446" stopIfTrue="1" operator="lessThan">
      <formula>0</formula>
    </cfRule>
  </conditionalFormatting>
  <conditionalFormatting sqref="K17">
    <cfRule type="expression" dxfId="7801" priority="1444">
      <formula>$C17&lt;$E$3</formula>
    </cfRule>
  </conditionalFormatting>
  <conditionalFormatting sqref="K17">
    <cfRule type="expression" dxfId="7800" priority="1441">
      <formula>$C17=$E$3</formula>
    </cfRule>
    <cfRule type="expression" dxfId="7799" priority="1442">
      <formula>$C17&lt;$E$3</formula>
    </cfRule>
    <cfRule type="cellIs" dxfId="7798" priority="1443" operator="equal">
      <formula>0</formula>
    </cfRule>
    <cfRule type="expression" dxfId="7797" priority="1445">
      <formula>$C17&gt;$E$3</formula>
    </cfRule>
  </conditionalFormatting>
  <conditionalFormatting sqref="K17">
    <cfRule type="expression" dxfId="7796" priority="1440">
      <formula>$E17=""</formula>
    </cfRule>
  </conditionalFormatting>
  <conditionalFormatting sqref="K17">
    <cfRule type="expression" dxfId="7795" priority="1439">
      <formula>$E17=""</formula>
    </cfRule>
  </conditionalFormatting>
  <conditionalFormatting sqref="K17">
    <cfRule type="expression" dxfId="7794" priority="1438">
      <formula>$E17=""</formula>
    </cfRule>
  </conditionalFormatting>
  <conditionalFormatting sqref="J17 L17">
    <cfRule type="cellIs" dxfId="7793" priority="1437" stopIfTrue="1" operator="lessThan">
      <formula>0</formula>
    </cfRule>
  </conditionalFormatting>
  <conditionalFormatting sqref="J17 L17">
    <cfRule type="expression" dxfId="7792" priority="1435">
      <formula>$C17&lt;$E$3</formula>
    </cfRule>
  </conditionalFormatting>
  <conditionalFormatting sqref="J17 L17">
    <cfRule type="expression" dxfId="7791" priority="1432">
      <formula>$C17=$E$3</formula>
    </cfRule>
    <cfRule type="expression" dxfId="7790" priority="1433">
      <formula>$C17&lt;$E$3</formula>
    </cfRule>
    <cfRule type="cellIs" dxfId="7789" priority="1434" operator="equal">
      <formula>0</formula>
    </cfRule>
    <cfRule type="expression" dxfId="7788" priority="1436">
      <formula>$C17&gt;$E$3</formula>
    </cfRule>
  </conditionalFormatting>
  <conditionalFormatting sqref="J17 L17">
    <cfRule type="expression" dxfId="7787" priority="1431">
      <formula>$E17=""</formula>
    </cfRule>
  </conditionalFormatting>
  <conditionalFormatting sqref="J17 L17">
    <cfRule type="expression" dxfId="7786" priority="1430">
      <formula>$E17=""</formula>
    </cfRule>
  </conditionalFormatting>
  <conditionalFormatting sqref="J17 L17">
    <cfRule type="expression" dxfId="7785" priority="1429">
      <formula>$E17=""</formula>
    </cfRule>
  </conditionalFormatting>
  <conditionalFormatting sqref="K17">
    <cfRule type="expression" dxfId="7784" priority="1427">
      <formula>$C17&lt;$E$3</formula>
    </cfRule>
  </conditionalFormatting>
  <conditionalFormatting sqref="K17">
    <cfRule type="expression" dxfId="7783" priority="1424">
      <formula>$C17=$E$3</formula>
    </cfRule>
    <cfRule type="expression" dxfId="7782" priority="1425">
      <formula>$C17&lt;$E$3</formula>
    </cfRule>
    <cfRule type="cellIs" dxfId="7781" priority="1426" operator="equal">
      <formula>0</formula>
    </cfRule>
    <cfRule type="expression" dxfId="7780" priority="1428">
      <formula>$C17&gt;$E$3</formula>
    </cfRule>
  </conditionalFormatting>
  <conditionalFormatting sqref="K17">
    <cfRule type="expression" dxfId="7779" priority="1423">
      <formula>$E17=""</formula>
    </cfRule>
  </conditionalFormatting>
  <conditionalFormatting sqref="K17">
    <cfRule type="expression" dxfId="7778" priority="1422">
      <formula>$E17=""</formula>
    </cfRule>
  </conditionalFormatting>
  <conditionalFormatting sqref="K17">
    <cfRule type="expression" dxfId="7777" priority="1421">
      <formula>$E17=""</formula>
    </cfRule>
  </conditionalFormatting>
  <conditionalFormatting sqref="H19">
    <cfRule type="cellIs" dxfId="7776" priority="1420" stopIfTrue="1" operator="lessThan">
      <formula>0</formula>
    </cfRule>
  </conditionalFormatting>
  <conditionalFormatting sqref="H19">
    <cfRule type="expression" dxfId="7775" priority="1418">
      <formula>$C19&lt;$E$3</formula>
    </cfRule>
  </conditionalFormatting>
  <conditionalFormatting sqref="H19">
    <cfRule type="expression" dxfId="7774" priority="1415">
      <formula>$C19=$E$3</formula>
    </cfRule>
    <cfRule type="expression" dxfId="7773" priority="1416">
      <formula>$C19&lt;$E$3</formula>
    </cfRule>
    <cfRule type="cellIs" dxfId="7772" priority="1417" operator="equal">
      <formula>0</formula>
    </cfRule>
    <cfRule type="expression" dxfId="7771" priority="1419">
      <formula>$C19&gt;$E$3</formula>
    </cfRule>
  </conditionalFormatting>
  <conditionalFormatting sqref="H19">
    <cfRule type="expression" dxfId="7770" priority="1414">
      <formula>$C19&lt;$E$3</formula>
    </cfRule>
  </conditionalFormatting>
  <conditionalFormatting sqref="H19">
    <cfRule type="expression" dxfId="7769" priority="1410">
      <formula>$C19=$E$3</formula>
    </cfRule>
    <cfRule type="expression" dxfId="7768" priority="1411">
      <formula>$C19&lt;$E$3</formula>
    </cfRule>
    <cfRule type="cellIs" dxfId="7767" priority="1412" operator="equal">
      <formula>0</formula>
    </cfRule>
    <cfRule type="expression" dxfId="7766" priority="1413">
      <formula>$C19&gt;$E$3</formula>
    </cfRule>
  </conditionalFormatting>
  <conditionalFormatting sqref="H19">
    <cfRule type="expression" dxfId="7765" priority="1409">
      <formula>$C19&lt;$E$3</formula>
    </cfRule>
  </conditionalFormatting>
  <conditionalFormatting sqref="H19">
    <cfRule type="expression" dxfId="7764" priority="1405">
      <formula>$C19=$E$3</formula>
    </cfRule>
    <cfRule type="expression" dxfId="7763" priority="1406">
      <formula>$C19&lt;$E$3</formula>
    </cfRule>
    <cfRule type="cellIs" dxfId="7762" priority="1407" operator="equal">
      <formula>0</formula>
    </cfRule>
    <cfRule type="expression" dxfId="7761" priority="1408">
      <formula>$C19&gt;$E$3</formula>
    </cfRule>
  </conditionalFormatting>
  <conditionalFormatting sqref="H19">
    <cfRule type="expression" dxfId="7760" priority="1404">
      <formula>$C19&lt;$E$3</formula>
    </cfRule>
  </conditionalFormatting>
  <conditionalFormatting sqref="H19">
    <cfRule type="expression" dxfId="7759" priority="1400">
      <formula>$C19=$E$3</formula>
    </cfRule>
    <cfRule type="expression" dxfId="7758" priority="1401">
      <formula>$C19&lt;$E$3</formula>
    </cfRule>
    <cfRule type="cellIs" dxfId="7757" priority="1402" operator="equal">
      <formula>0</formula>
    </cfRule>
    <cfRule type="expression" dxfId="7756" priority="1403">
      <formula>$C19&gt;$E$3</formula>
    </cfRule>
  </conditionalFormatting>
  <conditionalFormatting sqref="H19">
    <cfRule type="expression" dxfId="7755" priority="1399">
      <formula>$E19=""</formula>
    </cfRule>
  </conditionalFormatting>
  <conditionalFormatting sqref="H19">
    <cfRule type="expression" dxfId="7754" priority="1398">
      <formula>$C19&lt;$E$3</formula>
    </cfRule>
  </conditionalFormatting>
  <conditionalFormatting sqref="H19">
    <cfRule type="expression" dxfId="7753" priority="1397">
      <formula>$E19=""</formula>
    </cfRule>
  </conditionalFormatting>
  <conditionalFormatting sqref="H19">
    <cfRule type="expression" dxfId="7752" priority="1396">
      <formula>$E19=""</formula>
    </cfRule>
  </conditionalFormatting>
  <conditionalFormatting sqref="H19">
    <cfRule type="expression" dxfId="7751" priority="1395">
      <formula>$C19&lt;$E$3</formula>
    </cfRule>
  </conditionalFormatting>
  <conditionalFormatting sqref="H19">
    <cfRule type="expression" dxfId="7750" priority="1394">
      <formula>$E19=""</formula>
    </cfRule>
  </conditionalFormatting>
  <conditionalFormatting sqref="H19">
    <cfRule type="expression" dxfId="7749" priority="1393">
      <formula>$C19&lt;$E$3</formula>
    </cfRule>
  </conditionalFormatting>
  <conditionalFormatting sqref="H19">
    <cfRule type="expression" dxfId="7748" priority="1392">
      <formula>$E19=""</formula>
    </cfRule>
  </conditionalFormatting>
  <conditionalFormatting sqref="H19">
    <cfRule type="expression" dxfId="7747" priority="1391">
      <formula>$C19&lt;$E$3</formula>
    </cfRule>
  </conditionalFormatting>
  <conditionalFormatting sqref="H19">
    <cfRule type="expression" dxfId="7746" priority="1390">
      <formula>$E19=""</formula>
    </cfRule>
  </conditionalFormatting>
  <conditionalFormatting sqref="K19">
    <cfRule type="cellIs" dxfId="7745" priority="1389" stopIfTrue="1" operator="lessThan">
      <formula>0</formula>
    </cfRule>
  </conditionalFormatting>
  <conditionalFormatting sqref="K19">
    <cfRule type="expression" dxfId="7744" priority="1387">
      <formula>$C19&lt;$E$3</formula>
    </cfRule>
  </conditionalFormatting>
  <conditionalFormatting sqref="K19">
    <cfRule type="expression" dxfId="7743" priority="1384">
      <formula>$C19=$E$3</formula>
    </cfRule>
    <cfRule type="expression" dxfId="7742" priority="1385">
      <formula>$C19&lt;$E$3</formula>
    </cfRule>
    <cfRule type="cellIs" dxfId="7741" priority="1386" operator="equal">
      <formula>0</formula>
    </cfRule>
    <cfRule type="expression" dxfId="7740" priority="1388">
      <formula>$C19&gt;$E$3</formula>
    </cfRule>
  </conditionalFormatting>
  <conditionalFormatting sqref="K19">
    <cfRule type="expression" dxfId="7739" priority="1383">
      <formula>$E19=""</formula>
    </cfRule>
  </conditionalFormatting>
  <conditionalFormatting sqref="K19">
    <cfRule type="expression" dxfId="7738" priority="1382">
      <formula>$E19=""</formula>
    </cfRule>
  </conditionalFormatting>
  <conditionalFormatting sqref="K19">
    <cfRule type="expression" dxfId="7737" priority="1381">
      <formula>$E19=""</formula>
    </cfRule>
  </conditionalFormatting>
  <conditionalFormatting sqref="K19">
    <cfRule type="expression" dxfId="7736" priority="1370">
      <formula>$C19&lt;$E$3</formula>
    </cfRule>
  </conditionalFormatting>
  <conditionalFormatting sqref="K19">
    <cfRule type="expression" dxfId="7735" priority="1367">
      <formula>$C19=$E$3</formula>
    </cfRule>
    <cfRule type="expression" dxfId="7734" priority="1368">
      <formula>$C19&lt;$E$3</formula>
    </cfRule>
    <cfRule type="cellIs" dxfId="7733" priority="1369" operator="equal">
      <formula>0</formula>
    </cfRule>
    <cfRule type="expression" dxfId="7732" priority="1371">
      <formula>$C19&gt;$E$3</formula>
    </cfRule>
  </conditionalFormatting>
  <conditionalFormatting sqref="K19">
    <cfRule type="expression" dxfId="7731" priority="1366">
      <formula>$E19=""</formula>
    </cfRule>
  </conditionalFormatting>
  <conditionalFormatting sqref="K19">
    <cfRule type="expression" dxfId="7730" priority="1365">
      <formula>$E19=""</formula>
    </cfRule>
  </conditionalFormatting>
  <conditionalFormatting sqref="K19">
    <cfRule type="expression" dxfId="7729" priority="1364">
      <formula>$E19=""</formula>
    </cfRule>
  </conditionalFormatting>
  <conditionalFormatting sqref="H23">
    <cfRule type="cellIs" dxfId="7728" priority="1363" stopIfTrue="1" operator="lessThan">
      <formula>0</formula>
    </cfRule>
  </conditionalFormatting>
  <conditionalFormatting sqref="H23">
    <cfRule type="expression" dxfId="7727" priority="1361">
      <formula>$C23&lt;$E$3</formula>
    </cfRule>
  </conditionalFormatting>
  <conditionalFormatting sqref="H23">
    <cfRule type="expression" dxfId="7726" priority="1358">
      <formula>$C23=$E$3</formula>
    </cfRule>
    <cfRule type="expression" dxfId="7725" priority="1359">
      <formula>$C23&lt;$E$3</formula>
    </cfRule>
    <cfRule type="cellIs" dxfId="7724" priority="1360" operator="equal">
      <formula>0</formula>
    </cfRule>
    <cfRule type="expression" dxfId="7723" priority="1362">
      <formula>$C23&gt;$E$3</formula>
    </cfRule>
  </conditionalFormatting>
  <conditionalFormatting sqref="H23">
    <cfRule type="expression" dxfId="7722" priority="1357">
      <formula>$C23&lt;$E$3</formula>
    </cfRule>
  </conditionalFormatting>
  <conditionalFormatting sqref="H23">
    <cfRule type="expression" dxfId="7721" priority="1353">
      <formula>$C23=$E$3</formula>
    </cfRule>
    <cfRule type="expression" dxfId="7720" priority="1354">
      <formula>$C23&lt;$E$3</formula>
    </cfRule>
    <cfRule type="cellIs" dxfId="7719" priority="1355" operator="equal">
      <formula>0</formula>
    </cfRule>
    <cfRule type="expression" dxfId="7718" priority="1356">
      <formula>$C23&gt;$E$3</formula>
    </cfRule>
  </conditionalFormatting>
  <conditionalFormatting sqref="H23">
    <cfRule type="expression" dxfId="7717" priority="1352">
      <formula>$C23&lt;$E$3</formula>
    </cfRule>
  </conditionalFormatting>
  <conditionalFormatting sqref="H23">
    <cfRule type="expression" dxfId="7716" priority="1348">
      <formula>$C23=$E$3</formula>
    </cfRule>
    <cfRule type="expression" dxfId="7715" priority="1349">
      <formula>$C23&lt;$E$3</formula>
    </cfRule>
    <cfRule type="cellIs" dxfId="7714" priority="1350" operator="equal">
      <formula>0</formula>
    </cfRule>
    <cfRule type="expression" dxfId="7713" priority="1351">
      <formula>$C23&gt;$E$3</formula>
    </cfRule>
  </conditionalFormatting>
  <conditionalFormatting sqref="H23">
    <cfRule type="expression" dxfId="7712" priority="1347">
      <formula>$C23&lt;$E$3</formula>
    </cfRule>
  </conditionalFormatting>
  <conditionalFormatting sqref="H23">
    <cfRule type="expression" dxfId="7711" priority="1343">
      <formula>$C23=$E$3</formula>
    </cfRule>
    <cfRule type="expression" dxfId="7710" priority="1344">
      <formula>$C23&lt;$E$3</formula>
    </cfRule>
    <cfRule type="cellIs" dxfId="7709" priority="1345" operator="equal">
      <formula>0</formula>
    </cfRule>
    <cfRule type="expression" dxfId="7708" priority="1346">
      <formula>$C23&gt;$E$3</formula>
    </cfRule>
  </conditionalFormatting>
  <conditionalFormatting sqref="H23">
    <cfRule type="expression" dxfId="7707" priority="1342">
      <formula>$E23=""</formula>
    </cfRule>
  </conditionalFormatting>
  <conditionalFormatting sqref="H23">
    <cfRule type="expression" dxfId="7706" priority="1341">
      <formula>$C23&lt;$E$3</formula>
    </cfRule>
  </conditionalFormatting>
  <conditionalFormatting sqref="H23">
    <cfRule type="expression" dxfId="7705" priority="1340">
      <formula>$E23=""</formula>
    </cfRule>
  </conditionalFormatting>
  <conditionalFormatting sqref="H23">
    <cfRule type="expression" dxfId="7704" priority="1339">
      <formula>$E23=""</formula>
    </cfRule>
  </conditionalFormatting>
  <conditionalFormatting sqref="H23">
    <cfRule type="expression" dxfId="7703" priority="1338">
      <formula>$C23&lt;$E$3</formula>
    </cfRule>
  </conditionalFormatting>
  <conditionalFormatting sqref="H23">
    <cfRule type="expression" dxfId="7702" priority="1337">
      <formula>$E23=""</formula>
    </cfRule>
  </conditionalFormatting>
  <conditionalFormatting sqref="H23">
    <cfRule type="expression" dxfId="7701" priority="1336">
      <formula>$C23&lt;$E$3</formula>
    </cfRule>
  </conditionalFormatting>
  <conditionalFormatting sqref="H23">
    <cfRule type="expression" dxfId="7700" priority="1335">
      <formula>$E23=""</formula>
    </cfRule>
  </conditionalFormatting>
  <conditionalFormatting sqref="H23">
    <cfRule type="expression" dxfId="7699" priority="1334">
      <formula>$C23&lt;$E$3</formula>
    </cfRule>
  </conditionalFormatting>
  <conditionalFormatting sqref="H23">
    <cfRule type="expression" dxfId="7698" priority="1333">
      <formula>$E23=""</formula>
    </cfRule>
  </conditionalFormatting>
  <conditionalFormatting sqref="K23">
    <cfRule type="cellIs" dxfId="7697" priority="1332" stopIfTrue="1" operator="lessThan">
      <formula>0</formula>
    </cfRule>
  </conditionalFormatting>
  <conditionalFormatting sqref="K23">
    <cfRule type="expression" dxfId="7696" priority="1330">
      <formula>$C23&lt;$E$3</formula>
    </cfRule>
  </conditionalFormatting>
  <conditionalFormatting sqref="K23">
    <cfRule type="expression" dxfId="7695" priority="1327">
      <formula>$C23=$E$3</formula>
    </cfRule>
    <cfRule type="expression" dxfId="7694" priority="1328">
      <formula>$C23&lt;$E$3</formula>
    </cfRule>
    <cfRule type="cellIs" dxfId="7693" priority="1329" operator="equal">
      <formula>0</formula>
    </cfRule>
    <cfRule type="expression" dxfId="7692" priority="1331">
      <formula>$C23&gt;$E$3</formula>
    </cfRule>
  </conditionalFormatting>
  <conditionalFormatting sqref="K23">
    <cfRule type="expression" dxfId="7691" priority="1326">
      <formula>$E23=""</formula>
    </cfRule>
  </conditionalFormatting>
  <conditionalFormatting sqref="K23">
    <cfRule type="expression" dxfId="7690" priority="1325">
      <formula>$E23=""</formula>
    </cfRule>
  </conditionalFormatting>
  <conditionalFormatting sqref="K23">
    <cfRule type="expression" dxfId="7689" priority="1324">
      <formula>$E23=""</formula>
    </cfRule>
  </conditionalFormatting>
  <conditionalFormatting sqref="L23">
    <cfRule type="cellIs" dxfId="7688" priority="1323" stopIfTrue="1" operator="lessThan">
      <formula>0</formula>
    </cfRule>
  </conditionalFormatting>
  <conditionalFormatting sqref="L23">
    <cfRule type="expression" dxfId="7687" priority="1321">
      <formula>$C23&lt;$E$3</formula>
    </cfRule>
  </conditionalFormatting>
  <conditionalFormatting sqref="L23">
    <cfRule type="expression" dxfId="7686" priority="1318">
      <formula>$C23=$E$3</formula>
    </cfRule>
    <cfRule type="expression" dxfId="7685" priority="1319">
      <formula>$C23&lt;$E$3</formula>
    </cfRule>
    <cfRule type="cellIs" dxfId="7684" priority="1320" operator="equal">
      <formula>0</formula>
    </cfRule>
    <cfRule type="expression" dxfId="7683" priority="1322">
      <formula>$C23&gt;$E$3</formula>
    </cfRule>
  </conditionalFormatting>
  <conditionalFormatting sqref="L23">
    <cfRule type="expression" dxfId="7682" priority="1317">
      <formula>$E23=""</formula>
    </cfRule>
  </conditionalFormatting>
  <conditionalFormatting sqref="L23">
    <cfRule type="expression" dxfId="7681" priority="1316">
      <formula>$E23=""</formula>
    </cfRule>
  </conditionalFormatting>
  <conditionalFormatting sqref="L23">
    <cfRule type="expression" dxfId="7680" priority="1315">
      <formula>$E23=""</formula>
    </cfRule>
  </conditionalFormatting>
  <conditionalFormatting sqref="K23">
    <cfRule type="expression" dxfId="7679" priority="1313">
      <formula>$C23&lt;$E$3</formula>
    </cfRule>
  </conditionalFormatting>
  <conditionalFormatting sqref="K23">
    <cfRule type="expression" dxfId="7678" priority="1310">
      <formula>$C23=$E$3</formula>
    </cfRule>
    <cfRule type="expression" dxfId="7677" priority="1311">
      <formula>$C23&lt;$E$3</formula>
    </cfRule>
    <cfRule type="cellIs" dxfId="7676" priority="1312" operator="equal">
      <formula>0</formula>
    </cfRule>
    <cfRule type="expression" dxfId="7675" priority="1314">
      <formula>$C23&gt;$E$3</formula>
    </cfRule>
  </conditionalFormatting>
  <conditionalFormatting sqref="K23">
    <cfRule type="expression" dxfId="7674" priority="1309">
      <formula>$E23=""</formula>
    </cfRule>
  </conditionalFormatting>
  <conditionalFormatting sqref="K23">
    <cfRule type="expression" dxfId="7673" priority="1308">
      <formula>$E23=""</formula>
    </cfRule>
  </conditionalFormatting>
  <conditionalFormatting sqref="K23">
    <cfRule type="expression" dxfId="7672" priority="1307">
      <formula>$E23=""</formula>
    </cfRule>
  </conditionalFormatting>
  <conditionalFormatting sqref="H25">
    <cfRule type="cellIs" dxfId="7671" priority="1306" stopIfTrue="1" operator="lessThan">
      <formula>0</formula>
    </cfRule>
  </conditionalFormatting>
  <conditionalFormatting sqref="H25">
    <cfRule type="expression" dxfId="7670" priority="1304">
      <formula>$C25&lt;$E$3</formula>
    </cfRule>
  </conditionalFormatting>
  <conditionalFormatting sqref="H25">
    <cfRule type="expression" dxfId="7669" priority="1301">
      <formula>$C25=$E$3</formula>
    </cfRule>
    <cfRule type="expression" dxfId="7668" priority="1302">
      <formula>$C25&lt;$E$3</formula>
    </cfRule>
    <cfRule type="cellIs" dxfId="7667" priority="1303" operator="equal">
      <formula>0</formula>
    </cfRule>
    <cfRule type="expression" dxfId="7666" priority="1305">
      <formula>$C25&gt;$E$3</formula>
    </cfRule>
  </conditionalFormatting>
  <conditionalFormatting sqref="H25">
    <cfRule type="expression" dxfId="7665" priority="1300">
      <formula>$C25&lt;$E$3</formula>
    </cfRule>
  </conditionalFormatting>
  <conditionalFormatting sqref="H25">
    <cfRule type="expression" dxfId="7664" priority="1296">
      <formula>$C25=$E$3</formula>
    </cfRule>
    <cfRule type="expression" dxfId="7663" priority="1297">
      <formula>$C25&lt;$E$3</formula>
    </cfRule>
    <cfRule type="cellIs" dxfId="7662" priority="1298" operator="equal">
      <formula>0</formula>
    </cfRule>
    <cfRule type="expression" dxfId="7661" priority="1299">
      <formula>$C25&gt;$E$3</formula>
    </cfRule>
  </conditionalFormatting>
  <conditionalFormatting sqref="H25">
    <cfRule type="expression" dxfId="7660" priority="1295">
      <formula>$C25&lt;$E$3</formula>
    </cfRule>
  </conditionalFormatting>
  <conditionalFormatting sqref="H25">
    <cfRule type="expression" dxfId="7659" priority="1291">
      <formula>$C25=$E$3</formula>
    </cfRule>
    <cfRule type="expression" dxfId="7658" priority="1292">
      <formula>$C25&lt;$E$3</formula>
    </cfRule>
    <cfRule type="cellIs" dxfId="7657" priority="1293" operator="equal">
      <formula>0</formula>
    </cfRule>
    <cfRule type="expression" dxfId="7656" priority="1294">
      <formula>$C25&gt;$E$3</formula>
    </cfRule>
  </conditionalFormatting>
  <conditionalFormatting sqref="H25">
    <cfRule type="expression" dxfId="7655" priority="1290">
      <formula>$C25&lt;$E$3</formula>
    </cfRule>
  </conditionalFormatting>
  <conditionalFormatting sqref="H25">
    <cfRule type="expression" dxfId="7654" priority="1286">
      <formula>$C25=$E$3</formula>
    </cfRule>
    <cfRule type="expression" dxfId="7653" priority="1287">
      <formula>$C25&lt;$E$3</formula>
    </cfRule>
    <cfRule type="cellIs" dxfId="7652" priority="1288" operator="equal">
      <formula>0</formula>
    </cfRule>
    <cfRule type="expression" dxfId="7651" priority="1289">
      <formula>$C25&gt;$E$3</formula>
    </cfRule>
  </conditionalFormatting>
  <conditionalFormatting sqref="H25">
    <cfRule type="expression" dxfId="7650" priority="1285">
      <formula>$E25=""</formula>
    </cfRule>
  </conditionalFormatting>
  <conditionalFormatting sqref="H25">
    <cfRule type="expression" dxfId="7649" priority="1284">
      <formula>$C25&lt;$E$3</formula>
    </cfRule>
  </conditionalFormatting>
  <conditionalFormatting sqref="H25">
    <cfRule type="expression" dxfId="7648" priority="1283">
      <formula>$E25=""</formula>
    </cfRule>
  </conditionalFormatting>
  <conditionalFormatting sqref="H25">
    <cfRule type="expression" dxfId="7647" priority="1282">
      <formula>$E25=""</formula>
    </cfRule>
  </conditionalFormatting>
  <conditionalFormatting sqref="H25">
    <cfRule type="expression" dxfId="7646" priority="1281">
      <formula>$C25&lt;$E$3</formula>
    </cfRule>
  </conditionalFormatting>
  <conditionalFormatting sqref="H25">
    <cfRule type="expression" dxfId="7645" priority="1280">
      <formula>$E25=""</formula>
    </cfRule>
  </conditionalFormatting>
  <conditionalFormatting sqref="H25">
    <cfRule type="expression" dxfId="7644" priority="1279">
      <formula>$C25&lt;$E$3</formula>
    </cfRule>
  </conditionalFormatting>
  <conditionalFormatting sqref="H25">
    <cfRule type="expression" dxfId="7643" priority="1278">
      <formula>$E25=""</formula>
    </cfRule>
  </conditionalFormatting>
  <conditionalFormatting sqref="H25">
    <cfRule type="expression" dxfId="7642" priority="1277">
      <formula>$C25&lt;$E$3</formula>
    </cfRule>
  </conditionalFormatting>
  <conditionalFormatting sqref="H25">
    <cfRule type="expression" dxfId="7641" priority="1276">
      <formula>$E25=""</formula>
    </cfRule>
  </conditionalFormatting>
  <conditionalFormatting sqref="K25">
    <cfRule type="cellIs" dxfId="7640" priority="1275" stopIfTrue="1" operator="lessThan">
      <formula>0</formula>
    </cfRule>
  </conditionalFormatting>
  <conditionalFormatting sqref="K25">
    <cfRule type="expression" dxfId="7639" priority="1273">
      <formula>$C25&lt;$E$3</formula>
    </cfRule>
  </conditionalFormatting>
  <conditionalFormatting sqref="K25">
    <cfRule type="expression" dxfId="7638" priority="1270">
      <formula>$C25=$E$3</formula>
    </cfRule>
    <cfRule type="expression" dxfId="7637" priority="1271">
      <formula>$C25&lt;$E$3</formula>
    </cfRule>
    <cfRule type="cellIs" dxfId="7636" priority="1272" operator="equal">
      <formula>0</formula>
    </cfRule>
    <cfRule type="expression" dxfId="7635" priority="1274">
      <formula>$C25&gt;$E$3</formula>
    </cfRule>
  </conditionalFormatting>
  <conditionalFormatting sqref="K25">
    <cfRule type="expression" dxfId="7634" priority="1269">
      <formula>$E25=""</formula>
    </cfRule>
  </conditionalFormatting>
  <conditionalFormatting sqref="K25">
    <cfRule type="expression" dxfId="7633" priority="1268">
      <formula>$E25=""</formula>
    </cfRule>
  </conditionalFormatting>
  <conditionalFormatting sqref="K25">
    <cfRule type="expression" dxfId="7632" priority="1267">
      <formula>$E25=""</formula>
    </cfRule>
  </conditionalFormatting>
  <conditionalFormatting sqref="K25">
    <cfRule type="expression" dxfId="7631" priority="1256">
      <formula>$C25&lt;$E$3</formula>
    </cfRule>
  </conditionalFormatting>
  <conditionalFormatting sqref="K25">
    <cfRule type="expression" dxfId="7630" priority="1253">
      <formula>$C25=$E$3</formula>
    </cfRule>
    <cfRule type="expression" dxfId="7629" priority="1254">
      <formula>$C25&lt;$E$3</formula>
    </cfRule>
    <cfRule type="cellIs" dxfId="7628" priority="1255" operator="equal">
      <formula>0</formula>
    </cfRule>
    <cfRule type="expression" dxfId="7627" priority="1257">
      <formula>$C25&gt;$E$3</formula>
    </cfRule>
  </conditionalFormatting>
  <conditionalFormatting sqref="K25">
    <cfRule type="expression" dxfId="7626" priority="1252">
      <formula>$E25=""</formula>
    </cfRule>
  </conditionalFormatting>
  <conditionalFormatting sqref="K25">
    <cfRule type="expression" dxfId="7625" priority="1251">
      <formula>$E25=""</formula>
    </cfRule>
  </conditionalFormatting>
  <conditionalFormatting sqref="K25">
    <cfRule type="expression" dxfId="7624" priority="1250">
      <formula>$E25=""</formula>
    </cfRule>
  </conditionalFormatting>
  <conditionalFormatting sqref="H27">
    <cfRule type="cellIs" dxfId="7623" priority="1249" stopIfTrue="1" operator="lessThan">
      <formula>0</formula>
    </cfRule>
  </conditionalFormatting>
  <conditionalFormatting sqref="H27">
    <cfRule type="expression" dxfId="7622" priority="1247">
      <formula>$C27&lt;$E$3</formula>
    </cfRule>
  </conditionalFormatting>
  <conditionalFormatting sqref="H27">
    <cfRule type="expression" dxfId="7621" priority="1244">
      <formula>$C27=$E$3</formula>
    </cfRule>
    <cfRule type="expression" dxfId="7620" priority="1245">
      <formula>$C27&lt;$E$3</formula>
    </cfRule>
    <cfRule type="cellIs" dxfId="7619" priority="1246" operator="equal">
      <formula>0</formula>
    </cfRule>
    <cfRule type="expression" dxfId="7618" priority="1248">
      <formula>$C27&gt;$E$3</formula>
    </cfRule>
  </conditionalFormatting>
  <conditionalFormatting sqref="H27">
    <cfRule type="expression" dxfId="7617" priority="1243">
      <formula>$C27&lt;$E$3</formula>
    </cfRule>
  </conditionalFormatting>
  <conditionalFormatting sqref="H27">
    <cfRule type="expression" dxfId="7616" priority="1239">
      <formula>$C27=$E$3</formula>
    </cfRule>
    <cfRule type="expression" dxfId="7615" priority="1240">
      <formula>$C27&lt;$E$3</formula>
    </cfRule>
    <cfRule type="cellIs" dxfId="7614" priority="1241" operator="equal">
      <formula>0</formula>
    </cfRule>
    <cfRule type="expression" dxfId="7613" priority="1242">
      <formula>$C27&gt;$E$3</formula>
    </cfRule>
  </conditionalFormatting>
  <conditionalFormatting sqref="H27">
    <cfRule type="expression" dxfId="7612" priority="1238">
      <formula>$C27&lt;$E$3</formula>
    </cfRule>
  </conditionalFormatting>
  <conditionalFormatting sqref="H27">
    <cfRule type="expression" dxfId="7611" priority="1234">
      <formula>$C27=$E$3</formula>
    </cfRule>
    <cfRule type="expression" dxfId="7610" priority="1235">
      <formula>$C27&lt;$E$3</formula>
    </cfRule>
    <cfRule type="cellIs" dxfId="7609" priority="1236" operator="equal">
      <formula>0</formula>
    </cfRule>
    <cfRule type="expression" dxfId="7608" priority="1237">
      <formula>$C27&gt;$E$3</formula>
    </cfRule>
  </conditionalFormatting>
  <conditionalFormatting sqref="H27">
    <cfRule type="expression" dxfId="7607" priority="1233">
      <formula>$C27&lt;$E$3</formula>
    </cfRule>
  </conditionalFormatting>
  <conditionalFormatting sqref="H27">
    <cfRule type="expression" dxfId="7606" priority="1229">
      <formula>$C27=$E$3</formula>
    </cfRule>
    <cfRule type="expression" dxfId="7605" priority="1230">
      <formula>$C27&lt;$E$3</formula>
    </cfRule>
    <cfRule type="cellIs" dxfId="7604" priority="1231" operator="equal">
      <formula>0</formula>
    </cfRule>
    <cfRule type="expression" dxfId="7603" priority="1232">
      <formula>$C27&gt;$E$3</formula>
    </cfRule>
  </conditionalFormatting>
  <conditionalFormatting sqref="H27">
    <cfRule type="expression" dxfId="7602" priority="1228">
      <formula>$E27=""</formula>
    </cfRule>
  </conditionalFormatting>
  <conditionalFormatting sqref="H27">
    <cfRule type="expression" dxfId="7601" priority="1227">
      <formula>$C27&lt;$E$3</formula>
    </cfRule>
  </conditionalFormatting>
  <conditionalFormatting sqref="H27">
    <cfRule type="expression" dxfId="7600" priority="1226">
      <formula>$E27=""</formula>
    </cfRule>
  </conditionalFormatting>
  <conditionalFormatting sqref="H27">
    <cfRule type="expression" dxfId="7599" priority="1225">
      <formula>$E27=""</formula>
    </cfRule>
  </conditionalFormatting>
  <conditionalFormatting sqref="H27">
    <cfRule type="expression" dxfId="7598" priority="1224">
      <formula>$C27&lt;$E$3</formula>
    </cfRule>
  </conditionalFormatting>
  <conditionalFormatting sqref="H27">
    <cfRule type="expression" dxfId="7597" priority="1223">
      <formula>$E27=""</formula>
    </cfRule>
  </conditionalFormatting>
  <conditionalFormatting sqref="H27">
    <cfRule type="expression" dxfId="7596" priority="1222">
      <formula>$C27&lt;$E$3</formula>
    </cfRule>
  </conditionalFormatting>
  <conditionalFormatting sqref="H27">
    <cfRule type="expression" dxfId="7595" priority="1221">
      <formula>$E27=""</formula>
    </cfRule>
  </conditionalFormatting>
  <conditionalFormatting sqref="H27">
    <cfRule type="expression" dxfId="7594" priority="1220">
      <formula>$C27&lt;$E$3</formula>
    </cfRule>
  </conditionalFormatting>
  <conditionalFormatting sqref="H27">
    <cfRule type="expression" dxfId="7593" priority="1219">
      <formula>$E27=""</formula>
    </cfRule>
  </conditionalFormatting>
  <conditionalFormatting sqref="K27">
    <cfRule type="cellIs" dxfId="7592" priority="1218" stopIfTrue="1" operator="lessThan">
      <formula>0</formula>
    </cfRule>
  </conditionalFormatting>
  <conditionalFormatting sqref="K27">
    <cfRule type="expression" dxfId="7591" priority="1216">
      <formula>$C27&lt;$E$3</formula>
    </cfRule>
  </conditionalFormatting>
  <conditionalFormatting sqref="K27">
    <cfRule type="expression" dxfId="7590" priority="1213">
      <formula>$C27=$E$3</formula>
    </cfRule>
    <cfRule type="expression" dxfId="7589" priority="1214">
      <formula>$C27&lt;$E$3</formula>
    </cfRule>
    <cfRule type="cellIs" dxfId="7588" priority="1215" operator="equal">
      <formula>0</formula>
    </cfRule>
    <cfRule type="expression" dxfId="7587" priority="1217">
      <formula>$C27&gt;$E$3</formula>
    </cfRule>
  </conditionalFormatting>
  <conditionalFormatting sqref="K27">
    <cfRule type="expression" dxfId="7586" priority="1212">
      <formula>$E27=""</formula>
    </cfRule>
  </conditionalFormatting>
  <conditionalFormatting sqref="K27">
    <cfRule type="expression" dxfId="7585" priority="1211">
      <formula>$E27=""</formula>
    </cfRule>
  </conditionalFormatting>
  <conditionalFormatting sqref="K27">
    <cfRule type="expression" dxfId="7584" priority="1210">
      <formula>$E27=""</formula>
    </cfRule>
  </conditionalFormatting>
  <conditionalFormatting sqref="J27 L27">
    <cfRule type="cellIs" dxfId="7583" priority="1209" stopIfTrue="1" operator="lessThan">
      <formula>0</formula>
    </cfRule>
  </conditionalFormatting>
  <conditionalFormatting sqref="J27 L27">
    <cfRule type="expression" dxfId="7582" priority="1207">
      <formula>$C27&lt;$E$3</formula>
    </cfRule>
  </conditionalFormatting>
  <conditionalFormatting sqref="J27 L27">
    <cfRule type="expression" dxfId="7581" priority="1204">
      <formula>$C27=$E$3</formula>
    </cfRule>
    <cfRule type="expression" dxfId="7580" priority="1205">
      <formula>$C27&lt;$E$3</formula>
    </cfRule>
    <cfRule type="cellIs" dxfId="7579" priority="1206" operator="equal">
      <formula>0</formula>
    </cfRule>
    <cfRule type="expression" dxfId="7578" priority="1208">
      <formula>$C27&gt;$E$3</formula>
    </cfRule>
  </conditionalFormatting>
  <conditionalFormatting sqref="J27 L27">
    <cfRule type="expression" dxfId="7577" priority="1203">
      <formula>$E27=""</formula>
    </cfRule>
  </conditionalFormatting>
  <conditionalFormatting sqref="J27 L27">
    <cfRule type="expression" dxfId="7576" priority="1202">
      <formula>$E27=""</formula>
    </cfRule>
  </conditionalFormatting>
  <conditionalFormatting sqref="J27 L27">
    <cfRule type="expression" dxfId="7575" priority="1201">
      <formula>$E27=""</formula>
    </cfRule>
  </conditionalFormatting>
  <conditionalFormatting sqref="K27">
    <cfRule type="expression" dxfId="7574" priority="1199">
      <formula>$C27&lt;$E$3</formula>
    </cfRule>
  </conditionalFormatting>
  <conditionalFormatting sqref="K27">
    <cfRule type="expression" dxfId="7573" priority="1196">
      <formula>$C27=$E$3</formula>
    </cfRule>
    <cfRule type="expression" dxfId="7572" priority="1197">
      <formula>$C27&lt;$E$3</formula>
    </cfRule>
    <cfRule type="cellIs" dxfId="7571" priority="1198" operator="equal">
      <formula>0</formula>
    </cfRule>
    <cfRule type="expression" dxfId="7570" priority="1200">
      <formula>$C27&gt;$E$3</formula>
    </cfRule>
  </conditionalFormatting>
  <conditionalFormatting sqref="K27">
    <cfRule type="expression" dxfId="7569" priority="1195">
      <formula>$E27=""</formula>
    </cfRule>
  </conditionalFormatting>
  <conditionalFormatting sqref="K27">
    <cfRule type="expression" dxfId="7568" priority="1194">
      <formula>$E27=""</formula>
    </cfRule>
  </conditionalFormatting>
  <conditionalFormatting sqref="K27">
    <cfRule type="expression" dxfId="7567" priority="1193">
      <formula>$E27=""</formula>
    </cfRule>
  </conditionalFormatting>
  <conditionalFormatting sqref="H29">
    <cfRule type="cellIs" dxfId="7566" priority="1192" stopIfTrue="1" operator="lessThan">
      <formula>0</formula>
    </cfRule>
  </conditionalFormatting>
  <conditionalFormatting sqref="H29">
    <cfRule type="expression" dxfId="7565" priority="1190">
      <formula>$C29&lt;$E$3</formula>
    </cfRule>
  </conditionalFormatting>
  <conditionalFormatting sqref="H29">
    <cfRule type="expression" dxfId="7564" priority="1187">
      <formula>$C29=$E$3</formula>
    </cfRule>
    <cfRule type="expression" dxfId="7563" priority="1188">
      <formula>$C29&lt;$E$3</formula>
    </cfRule>
    <cfRule type="cellIs" dxfId="7562" priority="1189" operator="equal">
      <formula>0</formula>
    </cfRule>
    <cfRule type="expression" dxfId="7561" priority="1191">
      <formula>$C29&gt;$E$3</formula>
    </cfRule>
  </conditionalFormatting>
  <conditionalFormatting sqref="H29">
    <cfRule type="expression" dxfId="7560" priority="1186">
      <formula>$C29&lt;$E$3</formula>
    </cfRule>
  </conditionalFormatting>
  <conditionalFormatting sqref="H29">
    <cfRule type="expression" dxfId="7559" priority="1182">
      <formula>$C29=$E$3</formula>
    </cfRule>
    <cfRule type="expression" dxfId="7558" priority="1183">
      <formula>$C29&lt;$E$3</formula>
    </cfRule>
    <cfRule type="cellIs" dxfId="7557" priority="1184" operator="equal">
      <formula>0</formula>
    </cfRule>
    <cfRule type="expression" dxfId="7556" priority="1185">
      <formula>$C29&gt;$E$3</formula>
    </cfRule>
  </conditionalFormatting>
  <conditionalFormatting sqref="H29">
    <cfRule type="expression" dxfId="7555" priority="1181">
      <formula>$C29&lt;$E$3</formula>
    </cfRule>
  </conditionalFormatting>
  <conditionalFormatting sqref="H29">
    <cfRule type="expression" dxfId="7554" priority="1177">
      <formula>$C29=$E$3</formula>
    </cfRule>
    <cfRule type="expression" dxfId="7553" priority="1178">
      <formula>$C29&lt;$E$3</formula>
    </cfRule>
    <cfRule type="cellIs" dxfId="7552" priority="1179" operator="equal">
      <formula>0</formula>
    </cfRule>
    <cfRule type="expression" dxfId="7551" priority="1180">
      <formula>$C29&gt;$E$3</formula>
    </cfRule>
  </conditionalFormatting>
  <conditionalFormatting sqref="H29">
    <cfRule type="expression" dxfId="7550" priority="1176">
      <formula>$C29&lt;$E$3</formula>
    </cfRule>
  </conditionalFormatting>
  <conditionalFormatting sqref="H29">
    <cfRule type="expression" dxfId="7549" priority="1172">
      <formula>$C29=$E$3</formula>
    </cfRule>
    <cfRule type="expression" dxfId="7548" priority="1173">
      <formula>$C29&lt;$E$3</formula>
    </cfRule>
    <cfRule type="cellIs" dxfId="7547" priority="1174" operator="equal">
      <formula>0</formula>
    </cfRule>
    <cfRule type="expression" dxfId="7546" priority="1175">
      <formula>$C29&gt;$E$3</formula>
    </cfRule>
  </conditionalFormatting>
  <conditionalFormatting sqref="H29">
    <cfRule type="expression" dxfId="7545" priority="1171">
      <formula>$E29=""</formula>
    </cfRule>
  </conditionalFormatting>
  <conditionalFormatting sqref="H29">
    <cfRule type="expression" dxfId="7544" priority="1170">
      <formula>$C29&lt;$E$3</formula>
    </cfRule>
  </conditionalFormatting>
  <conditionalFormatting sqref="H29">
    <cfRule type="expression" dxfId="7543" priority="1169">
      <formula>$E29=""</formula>
    </cfRule>
  </conditionalFormatting>
  <conditionalFormatting sqref="H29">
    <cfRule type="expression" dxfId="7542" priority="1168">
      <formula>$E29=""</formula>
    </cfRule>
  </conditionalFormatting>
  <conditionalFormatting sqref="H29">
    <cfRule type="expression" dxfId="7541" priority="1167">
      <formula>$C29&lt;$E$3</formula>
    </cfRule>
  </conditionalFormatting>
  <conditionalFormatting sqref="H29">
    <cfRule type="expression" dxfId="7540" priority="1166">
      <formula>$E29=""</formula>
    </cfRule>
  </conditionalFormatting>
  <conditionalFormatting sqref="H29">
    <cfRule type="expression" dxfId="7539" priority="1165">
      <formula>$C29&lt;$E$3</formula>
    </cfRule>
  </conditionalFormatting>
  <conditionalFormatting sqref="H29">
    <cfRule type="expression" dxfId="7538" priority="1164">
      <formula>$E29=""</formula>
    </cfRule>
  </conditionalFormatting>
  <conditionalFormatting sqref="H29">
    <cfRule type="expression" dxfId="7537" priority="1163">
      <formula>$C29&lt;$E$3</formula>
    </cfRule>
  </conditionalFormatting>
  <conditionalFormatting sqref="H29">
    <cfRule type="expression" dxfId="7536" priority="1162">
      <formula>$E29=""</formula>
    </cfRule>
  </conditionalFormatting>
  <conditionalFormatting sqref="K29">
    <cfRule type="cellIs" dxfId="7535" priority="1161" stopIfTrue="1" operator="lessThan">
      <formula>0</formula>
    </cfRule>
  </conditionalFormatting>
  <conditionalFormatting sqref="K29">
    <cfRule type="expression" dxfId="7534" priority="1159">
      <formula>$C29&lt;$E$3</formula>
    </cfRule>
  </conditionalFormatting>
  <conditionalFormatting sqref="K29">
    <cfRule type="expression" dxfId="7533" priority="1156">
      <formula>$C29=$E$3</formula>
    </cfRule>
    <cfRule type="expression" dxfId="7532" priority="1157">
      <formula>$C29&lt;$E$3</formula>
    </cfRule>
    <cfRule type="cellIs" dxfId="7531" priority="1158" operator="equal">
      <formula>0</formula>
    </cfRule>
    <cfRule type="expression" dxfId="7530" priority="1160">
      <formula>$C29&gt;$E$3</formula>
    </cfRule>
  </conditionalFormatting>
  <conditionalFormatting sqref="K29">
    <cfRule type="expression" dxfId="7529" priority="1155">
      <formula>$E29=""</formula>
    </cfRule>
  </conditionalFormatting>
  <conditionalFormatting sqref="K29">
    <cfRule type="expression" dxfId="7528" priority="1154">
      <formula>$E29=""</formula>
    </cfRule>
  </conditionalFormatting>
  <conditionalFormatting sqref="K29">
    <cfRule type="expression" dxfId="7527" priority="1153">
      <formula>$E29=""</formula>
    </cfRule>
  </conditionalFormatting>
  <conditionalFormatting sqref="L29">
    <cfRule type="cellIs" dxfId="7526" priority="1152" stopIfTrue="1" operator="lessThan">
      <formula>0</formula>
    </cfRule>
  </conditionalFormatting>
  <conditionalFormatting sqref="L29">
    <cfRule type="expression" dxfId="7525" priority="1150">
      <formula>$C29&lt;$E$3</formula>
    </cfRule>
  </conditionalFormatting>
  <conditionalFormatting sqref="L29">
    <cfRule type="expression" dxfId="7524" priority="1147">
      <formula>$C29=$E$3</formula>
    </cfRule>
    <cfRule type="expression" dxfId="7523" priority="1148">
      <formula>$C29&lt;$E$3</formula>
    </cfRule>
    <cfRule type="cellIs" dxfId="7522" priority="1149" operator="equal">
      <formula>0</formula>
    </cfRule>
    <cfRule type="expression" dxfId="7521" priority="1151">
      <formula>$C29&gt;$E$3</formula>
    </cfRule>
  </conditionalFormatting>
  <conditionalFormatting sqref="L29">
    <cfRule type="expression" dxfId="7520" priority="1146">
      <formula>$E29=""</formula>
    </cfRule>
  </conditionalFormatting>
  <conditionalFormatting sqref="L29">
    <cfRule type="expression" dxfId="7519" priority="1145">
      <formula>$E29=""</formula>
    </cfRule>
  </conditionalFormatting>
  <conditionalFormatting sqref="L29">
    <cfRule type="expression" dxfId="7518" priority="1144">
      <formula>$E29=""</formula>
    </cfRule>
  </conditionalFormatting>
  <conditionalFormatting sqref="K29">
    <cfRule type="expression" dxfId="7517" priority="1142">
      <formula>$C29&lt;$E$3</formula>
    </cfRule>
  </conditionalFormatting>
  <conditionalFormatting sqref="K29">
    <cfRule type="expression" dxfId="7516" priority="1139">
      <formula>$C29=$E$3</formula>
    </cfRule>
    <cfRule type="expression" dxfId="7515" priority="1140">
      <formula>$C29&lt;$E$3</formula>
    </cfRule>
    <cfRule type="cellIs" dxfId="7514" priority="1141" operator="equal">
      <formula>0</formula>
    </cfRule>
    <cfRule type="expression" dxfId="7513" priority="1143">
      <formula>$C29&gt;$E$3</formula>
    </cfRule>
  </conditionalFormatting>
  <conditionalFormatting sqref="K29">
    <cfRule type="expression" dxfId="7512" priority="1138">
      <formula>$E29=""</formula>
    </cfRule>
  </conditionalFormatting>
  <conditionalFormatting sqref="K29">
    <cfRule type="expression" dxfId="7511" priority="1137">
      <formula>$E29=""</formula>
    </cfRule>
  </conditionalFormatting>
  <conditionalFormatting sqref="K29">
    <cfRule type="expression" dxfId="7510" priority="1136">
      <formula>$E29=""</formula>
    </cfRule>
  </conditionalFormatting>
  <conditionalFormatting sqref="H33">
    <cfRule type="cellIs" dxfId="7509" priority="1135" stopIfTrue="1" operator="lessThan">
      <formula>0</formula>
    </cfRule>
  </conditionalFormatting>
  <conditionalFormatting sqref="H33">
    <cfRule type="expression" dxfId="7508" priority="1133">
      <formula>$C33&lt;$E$3</formula>
    </cfRule>
  </conditionalFormatting>
  <conditionalFormatting sqref="H33">
    <cfRule type="expression" dxfId="7507" priority="1130">
      <formula>$C33=$E$3</formula>
    </cfRule>
    <cfRule type="expression" dxfId="7506" priority="1131">
      <formula>$C33&lt;$E$3</formula>
    </cfRule>
    <cfRule type="cellIs" dxfId="7505" priority="1132" operator="equal">
      <formula>0</formula>
    </cfRule>
    <cfRule type="expression" dxfId="7504" priority="1134">
      <formula>$C33&gt;$E$3</formula>
    </cfRule>
  </conditionalFormatting>
  <conditionalFormatting sqref="H33">
    <cfRule type="expression" dxfId="7503" priority="1129">
      <formula>$C33&lt;$E$3</formula>
    </cfRule>
  </conditionalFormatting>
  <conditionalFormatting sqref="H33">
    <cfRule type="expression" dxfId="7502" priority="1125">
      <formula>$C33=$E$3</formula>
    </cfRule>
    <cfRule type="expression" dxfId="7501" priority="1126">
      <formula>$C33&lt;$E$3</formula>
    </cfRule>
    <cfRule type="cellIs" dxfId="7500" priority="1127" operator="equal">
      <formula>0</formula>
    </cfRule>
    <cfRule type="expression" dxfId="7499" priority="1128">
      <formula>$C33&gt;$E$3</formula>
    </cfRule>
  </conditionalFormatting>
  <conditionalFormatting sqref="H33">
    <cfRule type="expression" dxfId="7498" priority="1124">
      <formula>$C33&lt;$E$3</formula>
    </cfRule>
  </conditionalFormatting>
  <conditionalFormatting sqref="H33">
    <cfRule type="expression" dxfId="7497" priority="1120">
      <formula>$C33=$E$3</formula>
    </cfRule>
    <cfRule type="expression" dxfId="7496" priority="1121">
      <formula>$C33&lt;$E$3</formula>
    </cfRule>
    <cfRule type="cellIs" dxfId="7495" priority="1122" operator="equal">
      <formula>0</formula>
    </cfRule>
    <cfRule type="expression" dxfId="7494" priority="1123">
      <formula>$C33&gt;$E$3</formula>
    </cfRule>
  </conditionalFormatting>
  <conditionalFormatting sqref="H33">
    <cfRule type="expression" dxfId="7493" priority="1119">
      <formula>$C33&lt;$E$3</formula>
    </cfRule>
  </conditionalFormatting>
  <conditionalFormatting sqref="H33">
    <cfRule type="expression" dxfId="7492" priority="1115">
      <formula>$C33=$E$3</formula>
    </cfRule>
    <cfRule type="expression" dxfId="7491" priority="1116">
      <formula>$C33&lt;$E$3</formula>
    </cfRule>
    <cfRule type="cellIs" dxfId="7490" priority="1117" operator="equal">
      <formula>0</formula>
    </cfRule>
    <cfRule type="expression" dxfId="7489" priority="1118">
      <formula>$C33&gt;$E$3</formula>
    </cfRule>
  </conditionalFormatting>
  <conditionalFormatting sqref="H33">
    <cfRule type="expression" dxfId="7488" priority="1114">
      <formula>$E33=""</formula>
    </cfRule>
  </conditionalFormatting>
  <conditionalFormatting sqref="H33">
    <cfRule type="expression" dxfId="7487" priority="1113">
      <formula>$C33&lt;$E$3</formula>
    </cfRule>
  </conditionalFormatting>
  <conditionalFormatting sqref="H33">
    <cfRule type="expression" dxfId="7486" priority="1112">
      <formula>$E33=""</formula>
    </cfRule>
  </conditionalFormatting>
  <conditionalFormatting sqref="H33">
    <cfRule type="expression" dxfId="7485" priority="1111">
      <formula>$E33=""</formula>
    </cfRule>
  </conditionalFormatting>
  <conditionalFormatting sqref="H33">
    <cfRule type="expression" dxfId="7484" priority="1110">
      <formula>$C33&lt;$E$3</formula>
    </cfRule>
  </conditionalFormatting>
  <conditionalFormatting sqref="H33">
    <cfRule type="expression" dxfId="7483" priority="1109">
      <formula>$E33=""</formula>
    </cfRule>
  </conditionalFormatting>
  <conditionalFormatting sqref="H33">
    <cfRule type="expression" dxfId="7482" priority="1108">
      <formula>$C33&lt;$E$3</formula>
    </cfRule>
  </conditionalFormatting>
  <conditionalFormatting sqref="H33">
    <cfRule type="expression" dxfId="7481" priority="1107">
      <formula>$E33=""</formula>
    </cfRule>
  </conditionalFormatting>
  <conditionalFormatting sqref="H33">
    <cfRule type="expression" dxfId="7480" priority="1106">
      <formula>$C33&lt;$E$3</formula>
    </cfRule>
  </conditionalFormatting>
  <conditionalFormatting sqref="H33">
    <cfRule type="expression" dxfId="7479" priority="1105">
      <formula>$E33=""</formula>
    </cfRule>
  </conditionalFormatting>
  <conditionalFormatting sqref="K33">
    <cfRule type="cellIs" dxfId="7478" priority="1104" stopIfTrue="1" operator="lessThan">
      <formula>0</formula>
    </cfRule>
  </conditionalFormatting>
  <conditionalFormatting sqref="K33">
    <cfRule type="expression" dxfId="7477" priority="1102">
      <formula>$C33&lt;$E$3</formula>
    </cfRule>
  </conditionalFormatting>
  <conditionalFormatting sqref="K33">
    <cfRule type="expression" dxfId="7476" priority="1099">
      <formula>$C33=$E$3</formula>
    </cfRule>
    <cfRule type="expression" dxfId="7475" priority="1100">
      <formula>$C33&lt;$E$3</formula>
    </cfRule>
    <cfRule type="cellIs" dxfId="7474" priority="1101" operator="equal">
      <formula>0</formula>
    </cfRule>
    <cfRule type="expression" dxfId="7473" priority="1103">
      <formula>$C33&gt;$E$3</formula>
    </cfRule>
  </conditionalFormatting>
  <conditionalFormatting sqref="K33">
    <cfRule type="expression" dxfId="7472" priority="1098">
      <formula>$E33=""</formula>
    </cfRule>
  </conditionalFormatting>
  <conditionalFormatting sqref="K33">
    <cfRule type="expression" dxfId="7471" priority="1097">
      <formula>$E33=""</formula>
    </cfRule>
  </conditionalFormatting>
  <conditionalFormatting sqref="K33">
    <cfRule type="expression" dxfId="7470" priority="1096">
      <formula>$E33=""</formula>
    </cfRule>
  </conditionalFormatting>
  <conditionalFormatting sqref="L33">
    <cfRule type="cellIs" dxfId="7469" priority="1095" stopIfTrue="1" operator="lessThan">
      <formula>0</formula>
    </cfRule>
  </conditionalFormatting>
  <conditionalFormatting sqref="L33">
    <cfRule type="expression" dxfId="7468" priority="1093">
      <formula>$C33&lt;$E$3</formula>
    </cfRule>
  </conditionalFormatting>
  <conditionalFormatting sqref="L33">
    <cfRule type="expression" dxfId="7467" priority="1090">
      <formula>$C33=$E$3</formula>
    </cfRule>
    <cfRule type="expression" dxfId="7466" priority="1091">
      <formula>$C33&lt;$E$3</formula>
    </cfRule>
    <cfRule type="cellIs" dxfId="7465" priority="1092" operator="equal">
      <formula>0</formula>
    </cfRule>
    <cfRule type="expression" dxfId="7464" priority="1094">
      <formula>$C33&gt;$E$3</formula>
    </cfRule>
  </conditionalFormatting>
  <conditionalFormatting sqref="L33">
    <cfRule type="expression" dxfId="7463" priority="1089">
      <formula>$E33=""</formula>
    </cfRule>
  </conditionalFormatting>
  <conditionalFormatting sqref="L33">
    <cfRule type="expression" dxfId="7462" priority="1088">
      <formula>$E33=""</formula>
    </cfRule>
  </conditionalFormatting>
  <conditionalFormatting sqref="L33">
    <cfRule type="expression" dxfId="7461" priority="1087">
      <formula>$E33=""</formula>
    </cfRule>
  </conditionalFormatting>
  <conditionalFormatting sqref="K33">
    <cfRule type="expression" dxfId="7460" priority="1085">
      <formula>$C33&lt;$E$3</formula>
    </cfRule>
  </conditionalFormatting>
  <conditionalFormatting sqref="K33">
    <cfRule type="expression" dxfId="7459" priority="1082">
      <formula>$C33=$E$3</formula>
    </cfRule>
    <cfRule type="expression" dxfId="7458" priority="1083">
      <formula>$C33&lt;$E$3</formula>
    </cfRule>
    <cfRule type="cellIs" dxfId="7457" priority="1084" operator="equal">
      <formula>0</formula>
    </cfRule>
    <cfRule type="expression" dxfId="7456" priority="1086">
      <formula>$C33&gt;$E$3</formula>
    </cfRule>
  </conditionalFormatting>
  <conditionalFormatting sqref="K33">
    <cfRule type="expression" dxfId="7455" priority="1081">
      <formula>$E33=""</formula>
    </cfRule>
  </conditionalFormatting>
  <conditionalFormatting sqref="K33">
    <cfRule type="expression" dxfId="7454" priority="1080">
      <formula>$E33=""</formula>
    </cfRule>
  </conditionalFormatting>
  <conditionalFormatting sqref="K33">
    <cfRule type="expression" dxfId="7453" priority="1079">
      <formula>$E33=""</formula>
    </cfRule>
  </conditionalFormatting>
  <conditionalFormatting sqref="H35">
    <cfRule type="cellIs" dxfId="7452" priority="1078" stopIfTrue="1" operator="lessThan">
      <formula>0</formula>
    </cfRule>
  </conditionalFormatting>
  <conditionalFormatting sqref="H35">
    <cfRule type="expression" dxfId="7451" priority="1076">
      <formula>$C35&lt;$E$3</formula>
    </cfRule>
  </conditionalFormatting>
  <conditionalFormatting sqref="H35">
    <cfRule type="expression" dxfId="7450" priority="1073">
      <formula>$C35=$E$3</formula>
    </cfRule>
    <cfRule type="expression" dxfId="7449" priority="1074">
      <formula>$C35&lt;$E$3</formula>
    </cfRule>
    <cfRule type="cellIs" dxfId="7448" priority="1075" operator="equal">
      <formula>0</formula>
    </cfRule>
    <cfRule type="expression" dxfId="7447" priority="1077">
      <formula>$C35&gt;$E$3</formula>
    </cfRule>
  </conditionalFormatting>
  <conditionalFormatting sqref="H35">
    <cfRule type="expression" dxfId="7446" priority="1072">
      <formula>$C35&lt;$E$3</formula>
    </cfRule>
  </conditionalFormatting>
  <conditionalFormatting sqref="H35">
    <cfRule type="expression" dxfId="7445" priority="1068">
      <formula>$C35=$E$3</formula>
    </cfRule>
    <cfRule type="expression" dxfId="7444" priority="1069">
      <formula>$C35&lt;$E$3</formula>
    </cfRule>
    <cfRule type="cellIs" dxfId="7443" priority="1070" operator="equal">
      <formula>0</formula>
    </cfRule>
    <cfRule type="expression" dxfId="7442" priority="1071">
      <formula>$C35&gt;$E$3</formula>
    </cfRule>
  </conditionalFormatting>
  <conditionalFormatting sqref="H35">
    <cfRule type="expression" dxfId="7441" priority="1067">
      <formula>$C35&lt;$E$3</formula>
    </cfRule>
  </conditionalFormatting>
  <conditionalFormatting sqref="H35">
    <cfRule type="expression" dxfId="7440" priority="1063">
      <formula>$C35=$E$3</formula>
    </cfRule>
    <cfRule type="expression" dxfId="7439" priority="1064">
      <formula>$C35&lt;$E$3</formula>
    </cfRule>
    <cfRule type="cellIs" dxfId="7438" priority="1065" operator="equal">
      <formula>0</formula>
    </cfRule>
    <cfRule type="expression" dxfId="7437" priority="1066">
      <formula>$C35&gt;$E$3</formula>
    </cfRule>
  </conditionalFormatting>
  <conditionalFormatting sqref="H35">
    <cfRule type="expression" dxfId="7436" priority="1062">
      <formula>$C35&lt;$E$3</formula>
    </cfRule>
  </conditionalFormatting>
  <conditionalFormatting sqref="H35">
    <cfRule type="expression" dxfId="7435" priority="1058">
      <formula>$C35=$E$3</formula>
    </cfRule>
    <cfRule type="expression" dxfId="7434" priority="1059">
      <formula>$C35&lt;$E$3</formula>
    </cfRule>
    <cfRule type="cellIs" dxfId="7433" priority="1060" operator="equal">
      <formula>0</formula>
    </cfRule>
    <cfRule type="expression" dxfId="7432" priority="1061">
      <formula>$C35&gt;$E$3</formula>
    </cfRule>
  </conditionalFormatting>
  <conditionalFormatting sqref="H35">
    <cfRule type="expression" dxfId="7431" priority="1057">
      <formula>$E35=""</formula>
    </cfRule>
  </conditionalFormatting>
  <conditionalFormatting sqref="H35">
    <cfRule type="expression" dxfId="7430" priority="1056">
      <formula>$C35&lt;$E$3</formula>
    </cfRule>
  </conditionalFormatting>
  <conditionalFormatting sqref="H35">
    <cfRule type="expression" dxfId="7429" priority="1055">
      <formula>$E35=""</formula>
    </cfRule>
  </conditionalFormatting>
  <conditionalFormatting sqref="H35">
    <cfRule type="expression" dxfId="7428" priority="1054">
      <formula>$E35=""</formula>
    </cfRule>
  </conditionalFormatting>
  <conditionalFormatting sqref="H35">
    <cfRule type="expression" dxfId="7427" priority="1053">
      <formula>$C35&lt;$E$3</formula>
    </cfRule>
  </conditionalFormatting>
  <conditionalFormatting sqref="H35">
    <cfRule type="expression" dxfId="7426" priority="1052">
      <formula>$E35=""</formula>
    </cfRule>
  </conditionalFormatting>
  <conditionalFormatting sqref="H35">
    <cfRule type="expression" dxfId="7425" priority="1051">
      <formula>$C35&lt;$E$3</formula>
    </cfRule>
  </conditionalFormatting>
  <conditionalFormatting sqref="H35">
    <cfRule type="expression" dxfId="7424" priority="1050">
      <formula>$E35=""</formula>
    </cfRule>
  </conditionalFormatting>
  <conditionalFormatting sqref="H35">
    <cfRule type="expression" dxfId="7423" priority="1049">
      <formula>$C35&lt;$E$3</formula>
    </cfRule>
  </conditionalFormatting>
  <conditionalFormatting sqref="H35">
    <cfRule type="expression" dxfId="7422" priority="1048">
      <formula>$E35=""</formula>
    </cfRule>
  </conditionalFormatting>
  <conditionalFormatting sqref="K35">
    <cfRule type="cellIs" dxfId="7421" priority="1047" stopIfTrue="1" operator="lessThan">
      <formula>0</formula>
    </cfRule>
  </conditionalFormatting>
  <conditionalFormatting sqref="K35">
    <cfRule type="expression" dxfId="7420" priority="1045">
      <formula>$C35&lt;$E$3</formula>
    </cfRule>
  </conditionalFormatting>
  <conditionalFormatting sqref="K35">
    <cfRule type="expression" dxfId="7419" priority="1042">
      <formula>$C35=$E$3</formula>
    </cfRule>
    <cfRule type="expression" dxfId="7418" priority="1043">
      <formula>$C35&lt;$E$3</formula>
    </cfRule>
    <cfRule type="cellIs" dxfId="7417" priority="1044" operator="equal">
      <formula>0</formula>
    </cfRule>
    <cfRule type="expression" dxfId="7416" priority="1046">
      <formula>$C35&gt;$E$3</formula>
    </cfRule>
  </conditionalFormatting>
  <conditionalFormatting sqref="K35">
    <cfRule type="expression" dxfId="7415" priority="1041">
      <formula>$E35=""</formula>
    </cfRule>
  </conditionalFormatting>
  <conditionalFormatting sqref="K35">
    <cfRule type="expression" dxfId="7414" priority="1040">
      <formula>$E35=""</formula>
    </cfRule>
  </conditionalFormatting>
  <conditionalFormatting sqref="K35">
    <cfRule type="expression" dxfId="7413" priority="1039">
      <formula>$E35=""</formula>
    </cfRule>
  </conditionalFormatting>
  <conditionalFormatting sqref="L35">
    <cfRule type="cellIs" dxfId="7412" priority="1038" stopIfTrue="1" operator="lessThan">
      <formula>0</formula>
    </cfRule>
  </conditionalFormatting>
  <conditionalFormatting sqref="L35">
    <cfRule type="expression" dxfId="7411" priority="1036">
      <formula>$C35&lt;$E$3</formula>
    </cfRule>
  </conditionalFormatting>
  <conditionalFormatting sqref="L35">
    <cfRule type="expression" dxfId="7410" priority="1033">
      <formula>$C35=$E$3</formula>
    </cfRule>
    <cfRule type="expression" dxfId="7409" priority="1034">
      <formula>$C35&lt;$E$3</formula>
    </cfRule>
    <cfRule type="cellIs" dxfId="7408" priority="1035" operator="equal">
      <formula>0</formula>
    </cfRule>
    <cfRule type="expression" dxfId="7407" priority="1037">
      <formula>$C35&gt;$E$3</formula>
    </cfRule>
  </conditionalFormatting>
  <conditionalFormatting sqref="L35">
    <cfRule type="expression" dxfId="7406" priority="1032">
      <formula>$E35=""</formula>
    </cfRule>
  </conditionalFormatting>
  <conditionalFormatting sqref="L35">
    <cfRule type="expression" dxfId="7405" priority="1031">
      <formula>$E35=""</formula>
    </cfRule>
  </conditionalFormatting>
  <conditionalFormatting sqref="L35">
    <cfRule type="expression" dxfId="7404" priority="1030">
      <formula>$E35=""</formula>
    </cfRule>
  </conditionalFormatting>
  <conditionalFormatting sqref="K35">
    <cfRule type="expression" dxfId="7403" priority="1028">
      <formula>$C35&lt;$E$3</formula>
    </cfRule>
  </conditionalFormatting>
  <conditionalFormatting sqref="K35">
    <cfRule type="expression" dxfId="7402" priority="1025">
      <formula>$C35=$E$3</formula>
    </cfRule>
    <cfRule type="expression" dxfId="7401" priority="1026">
      <formula>$C35&lt;$E$3</formula>
    </cfRule>
    <cfRule type="cellIs" dxfId="7400" priority="1027" operator="equal">
      <formula>0</formula>
    </cfRule>
    <cfRule type="expression" dxfId="7399" priority="1029">
      <formula>$C35&gt;$E$3</formula>
    </cfRule>
  </conditionalFormatting>
  <conditionalFormatting sqref="K35">
    <cfRule type="expression" dxfId="7398" priority="1024">
      <formula>$E35=""</formula>
    </cfRule>
  </conditionalFormatting>
  <conditionalFormatting sqref="K35">
    <cfRule type="expression" dxfId="7397" priority="1023">
      <formula>$E35=""</formula>
    </cfRule>
  </conditionalFormatting>
  <conditionalFormatting sqref="K35">
    <cfRule type="expression" dxfId="7396" priority="1022">
      <formula>$E35=""</formula>
    </cfRule>
  </conditionalFormatting>
  <conditionalFormatting sqref="H14">
    <cfRule type="cellIs" dxfId="7395" priority="1017" stopIfTrue="1" operator="lessThan">
      <formula>0</formula>
    </cfRule>
  </conditionalFormatting>
  <conditionalFormatting sqref="H14">
    <cfRule type="expression" dxfId="7394" priority="1018">
      <formula>$C14=$E$3</formula>
    </cfRule>
    <cfRule type="expression" dxfId="7393" priority="1019">
      <formula>$C14&lt;$E$3</formula>
    </cfRule>
    <cfRule type="cellIs" dxfId="7392" priority="1020" operator="equal">
      <formula>0</formula>
    </cfRule>
    <cfRule type="expression" dxfId="7391" priority="1021">
      <formula>$C14&gt;$E$3</formula>
    </cfRule>
  </conditionalFormatting>
  <conditionalFormatting sqref="H14">
    <cfRule type="expression" dxfId="7390" priority="1013">
      <formula>$C14=$E$3</formula>
    </cfRule>
    <cfRule type="expression" dxfId="7389" priority="1014">
      <formula>$C14&lt;$E$3</formula>
    </cfRule>
    <cfRule type="cellIs" dxfId="7388" priority="1015" operator="equal">
      <formula>0</formula>
    </cfRule>
    <cfRule type="expression" dxfId="7387" priority="1016">
      <formula>$C14&gt;$E$3</formula>
    </cfRule>
  </conditionalFormatting>
  <conditionalFormatting sqref="H14">
    <cfRule type="expression" dxfId="7386" priority="1012">
      <formula>$C14&lt;$E$3</formula>
    </cfRule>
  </conditionalFormatting>
  <conditionalFormatting sqref="H14">
    <cfRule type="expression" dxfId="7385" priority="1011">
      <formula>$E14=""</formula>
    </cfRule>
  </conditionalFormatting>
  <conditionalFormatting sqref="H14">
    <cfRule type="expression" dxfId="7384" priority="1007">
      <formula>$C14=$E$3</formula>
    </cfRule>
    <cfRule type="expression" dxfId="7383" priority="1008">
      <formula>$C14&lt;$E$3</formula>
    </cfRule>
    <cfRule type="cellIs" dxfId="7382" priority="1009" operator="equal">
      <formula>0</formula>
    </cfRule>
    <cfRule type="expression" dxfId="7381" priority="1010">
      <formula>$C14&gt;$E$3</formula>
    </cfRule>
  </conditionalFormatting>
  <conditionalFormatting sqref="H14">
    <cfRule type="expression" dxfId="7380" priority="1006">
      <formula>$C14&lt;$E$3</formula>
    </cfRule>
  </conditionalFormatting>
  <conditionalFormatting sqref="H14">
    <cfRule type="expression" dxfId="7379" priority="1005">
      <formula>$E14=""</formula>
    </cfRule>
  </conditionalFormatting>
  <conditionalFormatting sqref="H14">
    <cfRule type="expression" dxfId="7378" priority="1004">
      <formula>$C14&lt;$E$3</formula>
    </cfRule>
  </conditionalFormatting>
  <conditionalFormatting sqref="H14">
    <cfRule type="expression" dxfId="7377" priority="1000">
      <formula>$C14=$E$3</formula>
    </cfRule>
    <cfRule type="expression" dxfId="7376" priority="1001">
      <formula>$C14&lt;$E$3</formula>
    </cfRule>
    <cfRule type="cellIs" dxfId="7375" priority="1002" operator="equal">
      <formula>0</formula>
    </cfRule>
    <cfRule type="expression" dxfId="7374" priority="1003">
      <formula>$C14&gt;$E$3</formula>
    </cfRule>
  </conditionalFormatting>
  <conditionalFormatting sqref="H14">
    <cfRule type="expression" dxfId="7373" priority="999">
      <formula>$E14=""</formula>
    </cfRule>
  </conditionalFormatting>
  <conditionalFormatting sqref="H14">
    <cfRule type="expression" dxfId="7372" priority="998">
      <formula>$C14&lt;$E$3</formula>
    </cfRule>
  </conditionalFormatting>
  <conditionalFormatting sqref="H14">
    <cfRule type="expression" dxfId="7371" priority="997">
      <formula>$E14=""</formula>
    </cfRule>
  </conditionalFormatting>
  <conditionalFormatting sqref="H14">
    <cfRule type="expression" dxfId="7370" priority="996">
      <formula>$E14=""</formula>
    </cfRule>
  </conditionalFormatting>
  <conditionalFormatting sqref="H14">
    <cfRule type="expression" dxfId="7369" priority="995">
      <formula>$C14&lt;$E$3</formula>
    </cfRule>
  </conditionalFormatting>
  <conditionalFormatting sqref="H14">
    <cfRule type="expression" dxfId="7368" priority="994">
      <formula>$E14=""</formula>
    </cfRule>
  </conditionalFormatting>
  <conditionalFormatting sqref="H14">
    <cfRule type="expression" dxfId="7367" priority="993">
      <formula>$C14&lt;$E$3</formula>
    </cfRule>
  </conditionalFormatting>
  <conditionalFormatting sqref="H14">
    <cfRule type="expression" dxfId="7366" priority="992">
      <formula>$E14=""</formula>
    </cfRule>
  </conditionalFormatting>
  <conditionalFormatting sqref="H14">
    <cfRule type="expression" dxfId="7365" priority="991">
      <formula>$C14&lt;$E$3</formula>
    </cfRule>
  </conditionalFormatting>
  <conditionalFormatting sqref="H14">
    <cfRule type="expression" dxfId="7364" priority="990">
      <formula>$E14=""</formula>
    </cfRule>
  </conditionalFormatting>
  <conditionalFormatting sqref="K14">
    <cfRule type="cellIs" dxfId="7363" priority="989" stopIfTrue="1" operator="lessThan">
      <formula>0</formula>
    </cfRule>
  </conditionalFormatting>
  <conditionalFormatting sqref="K14">
    <cfRule type="expression" dxfId="7362" priority="987">
      <formula>$C14&lt;$E$3</formula>
    </cfRule>
  </conditionalFormatting>
  <conditionalFormatting sqref="K14">
    <cfRule type="expression" dxfId="7361" priority="984">
      <formula>$C14=$E$3</formula>
    </cfRule>
    <cfRule type="expression" dxfId="7360" priority="985">
      <formula>$C14&lt;$E$3</formula>
    </cfRule>
    <cfRule type="cellIs" dxfId="7359" priority="986" operator="equal">
      <formula>0</formula>
    </cfRule>
    <cfRule type="expression" dxfId="7358" priority="988">
      <formula>$C14&gt;$E$3</formula>
    </cfRule>
  </conditionalFormatting>
  <conditionalFormatting sqref="K14">
    <cfRule type="expression" dxfId="7357" priority="983">
      <formula>$E14=""</formula>
    </cfRule>
  </conditionalFormatting>
  <conditionalFormatting sqref="K14">
    <cfRule type="expression" dxfId="7356" priority="982">
      <formula>$E14=""</formula>
    </cfRule>
  </conditionalFormatting>
  <conditionalFormatting sqref="K14">
    <cfRule type="expression" dxfId="7355" priority="981">
      <formula>$E14=""</formula>
    </cfRule>
  </conditionalFormatting>
  <conditionalFormatting sqref="K14">
    <cfRule type="expression" dxfId="7354" priority="971">
      <formula>$C14&lt;$E$3</formula>
    </cfRule>
  </conditionalFormatting>
  <conditionalFormatting sqref="K14">
    <cfRule type="expression" dxfId="7353" priority="967">
      <formula>$C14=$E$3</formula>
    </cfRule>
    <cfRule type="expression" dxfId="7352" priority="968">
      <formula>$C14&lt;$E$3</formula>
    </cfRule>
    <cfRule type="cellIs" dxfId="7351" priority="969" operator="equal">
      <formula>0</formula>
    </cfRule>
    <cfRule type="expression" dxfId="7350" priority="970">
      <formula>$C14&gt;$E$3</formula>
    </cfRule>
  </conditionalFormatting>
  <conditionalFormatting sqref="K14">
    <cfRule type="expression" dxfId="7349" priority="966">
      <formula>$C14&lt;$E$3</formula>
    </cfRule>
  </conditionalFormatting>
  <conditionalFormatting sqref="K14">
    <cfRule type="expression" dxfId="7348" priority="962">
      <formula>$C14=$E$3</formula>
    </cfRule>
    <cfRule type="expression" dxfId="7347" priority="963">
      <formula>$C14&lt;$E$3</formula>
    </cfRule>
    <cfRule type="cellIs" dxfId="7346" priority="964" operator="equal">
      <formula>0</formula>
    </cfRule>
    <cfRule type="expression" dxfId="7345" priority="965">
      <formula>$C14&gt;$E$3</formula>
    </cfRule>
  </conditionalFormatting>
  <conditionalFormatting sqref="K14">
    <cfRule type="expression" dxfId="7344" priority="961">
      <formula>$C14&lt;$E$3</formula>
    </cfRule>
  </conditionalFormatting>
  <conditionalFormatting sqref="K14">
    <cfRule type="expression" dxfId="7343" priority="957">
      <formula>$C14=$E$3</formula>
    </cfRule>
    <cfRule type="expression" dxfId="7342" priority="958">
      <formula>$C14&lt;$E$3</formula>
    </cfRule>
    <cfRule type="cellIs" dxfId="7341" priority="959" operator="equal">
      <formula>0</formula>
    </cfRule>
    <cfRule type="expression" dxfId="7340" priority="960">
      <formula>$C14&gt;$E$3</formula>
    </cfRule>
  </conditionalFormatting>
  <conditionalFormatting sqref="K14">
    <cfRule type="expression" dxfId="7339" priority="956">
      <formula>$C14&lt;$E$3</formula>
    </cfRule>
  </conditionalFormatting>
  <conditionalFormatting sqref="K14">
    <cfRule type="expression" dxfId="7338" priority="952">
      <formula>$C14=$E$3</formula>
    </cfRule>
    <cfRule type="expression" dxfId="7337" priority="953">
      <formula>$C14&lt;$E$3</formula>
    </cfRule>
    <cfRule type="cellIs" dxfId="7336" priority="954" operator="equal">
      <formula>0</formula>
    </cfRule>
    <cfRule type="expression" dxfId="7335" priority="955">
      <formula>$C14&gt;$E$3</formula>
    </cfRule>
  </conditionalFormatting>
  <conditionalFormatting sqref="K14">
    <cfRule type="expression" dxfId="7334" priority="951">
      <formula>$E14=""</formula>
    </cfRule>
  </conditionalFormatting>
  <conditionalFormatting sqref="K14">
    <cfRule type="expression" dxfId="7333" priority="950">
      <formula>$C14&lt;$E$3</formula>
    </cfRule>
  </conditionalFormatting>
  <conditionalFormatting sqref="K14">
    <cfRule type="expression" dxfId="7332" priority="949">
      <formula>$E14=""</formula>
    </cfRule>
  </conditionalFormatting>
  <conditionalFormatting sqref="K14">
    <cfRule type="expression" dxfId="7331" priority="948">
      <formula>$E14=""</formula>
    </cfRule>
  </conditionalFormatting>
  <conditionalFormatting sqref="K14">
    <cfRule type="expression" dxfId="7330" priority="947">
      <formula>$C14&lt;$E$3</formula>
    </cfRule>
  </conditionalFormatting>
  <conditionalFormatting sqref="K14">
    <cfRule type="expression" dxfId="7329" priority="946">
      <formula>$E14=""</formula>
    </cfRule>
  </conditionalFormatting>
  <conditionalFormatting sqref="K14">
    <cfRule type="expression" dxfId="7328" priority="945">
      <formula>$C14&lt;$E$3</formula>
    </cfRule>
  </conditionalFormatting>
  <conditionalFormatting sqref="K14">
    <cfRule type="expression" dxfId="7327" priority="944">
      <formula>$E14=""</formula>
    </cfRule>
  </conditionalFormatting>
  <conditionalFormatting sqref="K14">
    <cfRule type="expression" dxfId="7326" priority="943">
      <formula>$C14&lt;$E$3</formula>
    </cfRule>
  </conditionalFormatting>
  <conditionalFormatting sqref="K14">
    <cfRule type="expression" dxfId="7325" priority="942">
      <formula>$E14=""</formula>
    </cfRule>
  </conditionalFormatting>
  <conditionalFormatting sqref="K14">
    <cfRule type="expression" dxfId="7324" priority="941">
      <formula>$C14&lt;$E$3</formula>
    </cfRule>
  </conditionalFormatting>
  <conditionalFormatting sqref="K14">
    <cfRule type="expression" dxfId="7323" priority="937">
      <formula>$C14=$E$3</formula>
    </cfRule>
    <cfRule type="expression" dxfId="7322" priority="938">
      <formula>$C14&lt;$E$3</formula>
    </cfRule>
    <cfRule type="cellIs" dxfId="7321" priority="939" operator="equal">
      <formula>0</formula>
    </cfRule>
    <cfRule type="expression" dxfId="7320" priority="940">
      <formula>$C14&gt;$E$3</formula>
    </cfRule>
  </conditionalFormatting>
  <conditionalFormatting sqref="K14">
    <cfRule type="expression" dxfId="7319" priority="936">
      <formula>$C14&lt;$E$3</formula>
    </cfRule>
  </conditionalFormatting>
  <conditionalFormatting sqref="K14">
    <cfRule type="expression" dxfId="7318" priority="932">
      <formula>$C14=$E$3</formula>
    </cfRule>
    <cfRule type="expression" dxfId="7317" priority="933">
      <formula>$C14&lt;$E$3</formula>
    </cfRule>
    <cfRule type="cellIs" dxfId="7316" priority="934" operator="equal">
      <formula>0</formula>
    </cfRule>
    <cfRule type="expression" dxfId="7315" priority="935">
      <formula>$C14&gt;$E$3</formula>
    </cfRule>
  </conditionalFormatting>
  <conditionalFormatting sqref="K14">
    <cfRule type="expression" dxfId="7314" priority="931">
      <formula>$C14&lt;$E$3</formula>
    </cfRule>
  </conditionalFormatting>
  <conditionalFormatting sqref="K14">
    <cfRule type="expression" dxfId="7313" priority="927">
      <formula>$C14=$E$3</formula>
    </cfRule>
    <cfRule type="expression" dxfId="7312" priority="928">
      <formula>$C14&lt;$E$3</formula>
    </cfRule>
    <cfRule type="cellIs" dxfId="7311" priority="929" operator="equal">
      <formula>0</formula>
    </cfRule>
    <cfRule type="expression" dxfId="7310" priority="930">
      <formula>$C14&gt;$E$3</formula>
    </cfRule>
  </conditionalFormatting>
  <conditionalFormatting sqref="K14">
    <cfRule type="expression" dxfId="7309" priority="926">
      <formula>$C14&lt;$E$3</formula>
    </cfRule>
  </conditionalFormatting>
  <conditionalFormatting sqref="K14">
    <cfRule type="expression" dxfId="7308" priority="922">
      <formula>$C14=$E$3</formula>
    </cfRule>
    <cfRule type="expression" dxfId="7307" priority="923">
      <formula>$C14&lt;$E$3</formula>
    </cfRule>
    <cfRule type="cellIs" dxfId="7306" priority="924" operator="equal">
      <formula>0</formula>
    </cfRule>
    <cfRule type="expression" dxfId="7305" priority="925">
      <formula>$C14&gt;$E$3</formula>
    </cfRule>
  </conditionalFormatting>
  <conditionalFormatting sqref="K14">
    <cfRule type="expression" dxfId="7304" priority="921">
      <formula>$E14=""</formula>
    </cfRule>
  </conditionalFormatting>
  <conditionalFormatting sqref="K14">
    <cfRule type="expression" dxfId="7303" priority="920">
      <formula>$C14&lt;$E$3</formula>
    </cfRule>
  </conditionalFormatting>
  <conditionalFormatting sqref="K14">
    <cfRule type="expression" dxfId="7302" priority="919">
      <formula>$E14=""</formula>
    </cfRule>
  </conditionalFormatting>
  <conditionalFormatting sqref="K14">
    <cfRule type="expression" dxfId="7301" priority="918">
      <formula>$E14=""</formula>
    </cfRule>
  </conditionalFormatting>
  <conditionalFormatting sqref="K14">
    <cfRule type="expression" dxfId="7300" priority="917">
      <formula>$C14&lt;$E$3</formula>
    </cfRule>
  </conditionalFormatting>
  <conditionalFormatting sqref="K14">
    <cfRule type="expression" dxfId="7299" priority="916">
      <formula>$E14=""</formula>
    </cfRule>
  </conditionalFormatting>
  <conditionalFormatting sqref="K14">
    <cfRule type="expression" dxfId="7298" priority="915">
      <formula>$C14&lt;$E$3</formula>
    </cfRule>
  </conditionalFormatting>
  <conditionalFormatting sqref="K14">
    <cfRule type="expression" dxfId="7297" priority="914">
      <formula>$E14=""</formula>
    </cfRule>
  </conditionalFormatting>
  <conditionalFormatting sqref="K14">
    <cfRule type="expression" dxfId="7296" priority="913">
      <formula>$C14&lt;$E$3</formula>
    </cfRule>
  </conditionalFormatting>
  <conditionalFormatting sqref="K14">
    <cfRule type="expression" dxfId="7295" priority="912">
      <formula>$E14=""</formula>
    </cfRule>
  </conditionalFormatting>
  <conditionalFormatting sqref="K14">
    <cfRule type="expression" dxfId="7294" priority="910">
      <formula>$C14&lt;$E$3</formula>
    </cfRule>
  </conditionalFormatting>
  <conditionalFormatting sqref="K14">
    <cfRule type="expression" dxfId="7293" priority="907">
      <formula>$C14=$E$3</formula>
    </cfRule>
    <cfRule type="expression" dxfId="7292" priority="908">
      <formula>$C14&lt;$E$3</formula>
    </cfRule>
    <cfRule type="cellIs" dxfId="7291" priority="909" operator="equal">
      <formula>0</formula>
    </cfRule>
    <cfRule type="expression" dxfId="7290" priority="911">
      <formula>$C14&gt;$E$3</formula>
    </cfRule>
  </conditionalFormatting>
  <conditionalFormatting sqref="K14">
    <cfRule type="expression" dxfId="7289" priority="906">
      <formula>$E14=""</formula>
    </cfRule>
  </conditionalFormatting>
  <conditionalFormatting sqref="K14">
    <cfRule type="expression" dxfId="7288" priority="905">
      <formula>$E14=""</formula>
    </cfRule>
  </conditionalFormatting>
  <conditionalFormatting sqref="K14">
    <cfRule type="expression" dxfId="7287" priority="904">
      <formula>$E14=""</formula>
    </cfRule>
  </conditionalFormatting>
  <conditionalFormatting sqref="H16">
    <cfRule type="cellIs" dxfId="7286" priority="899" stopIfTrue="1" operator="lessThan">
      <formula>0</formula>
    </cfRule>
  </conditionalFormatting>
  <conditionalFormatting sqref="H16">
    <cfRule type="expression" dxfId="7285" priority="900">
      <formula>$C16=$E$3</formula>
    </cfRule>
    <cfRule type="expression" dxfId="7284" priority="901">
      <formula>$C16&lt;$E$3</formula>
    </cfRule>
    <cfRule type="cellIs" dxfId="7283" priority="902" operator="equal">
      <formula>0</formula>
    </cfRule>
    <cfRule type="expression" dxfId="7282" priority="903">
      <formula>$C16&gt;$E$3</formula>
    </cfRule>
  </conditionalFormatting>
  <conditionalFormatting sqref="H16">
    <cfRule type="expression" dxfId="7281" priority="895">
      <formula>$C16=$E$3</formula>
    </cfRule>
    <cfRule type="expression" dxfId="7280" priority="896">
      <formula>$C16&lt;$E$3</formula>
    </cfRule>
    <cfRule type="cellIs" dxfId="7279" priority="897" operator="equal">
      <formula>0</formula>
    </cfRule>
    <cfRule type="expression" dxfId="7278" priority="898">
      <formula>$C16&gt;$E$3</formula>
    </cfRule>
  </conditionalFormatting>
  <conditionalFormatting sqref="H16">
    <cfRule type="expression" dxfId="7277" priority="894">
      <formula>$C16&lt;$E$3</formula>
    </cfRule>
  </conditionalFormatting>
  <conditionalFormatting sqref="H16">
    <cfRule type="expression" dxfId="7276" priority="893">
      <formula>$E16=""</formula>
    </cfRule>
  </conditionalFormatting>
  <conditionalFormatting sqref="H16">
    <cfRule type="expression" dxfId="7275" priority="889">
      <formula>$C16=$E$3</formula>
    </cfRule>
    <cfRule type="expression" dxfId="7274" priority="890">
      <formula>$C16&lt;$E$3</formula>
    </cfRule>
    <cfRule type="cellIs" dxfId="7273" priority="891" operator="equal">
      <formula>0</formula>
    </cfRule>
    <cfRule type="expression" dxfId="7272" priority="892">
      <formula>$C16&gt;$E$3</formula>
    </cfRule>
  </conditionalFormatting>
  <conditionalFormatting sqref="H16">
    <cfRule type="expression" dxfId="7271" priority="888">
      <formula>$C16&lt;$E$3</formula>
    </cfRule>
  </conditionalFormatting>
  <conditionalFormatting sqref="H16">
    <cfRule type="expression" dxfId="7270" priority="887">
      <formula>$E16=""</formula>
    </cfRule>
  </conditionalFormatting>
  <conditionalFormatting sqref="H16">
    <cfRule type="expression" dxfId="7269" priority="886">
      <formula>$C16&lt;$E$3</formula>
    </cfRule>
  </conditionalFormatting>
  <conditionalFormatting sqref="H16">
    <cfRule type="expression" dxfId="7268" priority="882">
      <formula>$C16=$E$3</formula>
    </cfRule>
    <cfRule type="expression" dxfId="7267" priority="883">
      <formula>$C16&lt;$E$3</formula>
    </cfRule>
    <cfRule type="cellIs" dxfId="7266" priority="884" operator="equal">
      <formula>0</formula>
    </cfRule>
    <cfRule type="expression" dxfId="7265" priority="885">
      <formula>$C16&gt;$E$3</formula>
    </cfRule>
  </conditionalFormatting>
  <conditionalFormatting sqref="H16">
    <cfRule type="expression" dxfId="7264" priority="881">
      <formula>$E16=""</formula>
    </cfRule>
  </conditionalFormatting>
  <conditionalFormatting sqref="H16">
    <cfRule type="expression" dxfId="7263" priority="880">
      <formula>$C16&lt;$E$3</formula>
    </cfRule>
  </conditionalFormatting>
  <conditionalFormatting sqref="H16">
    <cfRule type="expression" dxfId="7262" priority="879">
      <formula>$E16=""</formula>
    </cfRule>
  </conditionalFormatting>
  <conditionalFormatting sqref="H16">
    <cfRule type="expression" dxfId="7261" priority="878">
      <formula>$E16=""</formula>
    </cfRule>
  </conditionalFormatting>
  <conditionalFormatting sqref="H16">
    <cfRule type="expression" dxfId="7260" priority="877">
      <formula>$C16&lt;$E$3</formula>
    </cfRule>
  </conditionalFormatting>
  <conditionalFormatting sqref="H16">
    <cfRule type="expression" dxfId="7259" priority="876">
      <formula>$E16=""</formula>
    </cfRule>
  </conditionalFormatting>
  <conditionalFormatting sqref="H16">
    <cfRule type="expression" dxfId="7258" priority="875">
      <formula>$C16&lt;$E$3</formula>
    </cfRule>
  </conditionalFormatting>
  <conditionalFormatting sqref="H16">
    <cfRule type="expression" dxfId="7257" priority="874">
      <formula>$E16=""</formula>
    </cfRule>
  </conditionalFormatting>
  <conditionalFormatting sqref="H16">
    <cfRule type="expression" dxfId="7256" priority="873">
      <formula>$C16&lt;$E$3</formula>
    </cfRule>
  </conditionalFormatting>
  <conditionalFormatting sqref="H16">
    <cfRule type="expression" dxfId="7255" priority="872">
      <formula>$E16=""</formula>
    </cfRule>
  </conditionalFormatting>
  <conditionalFormatting sqref="K16">
    <cfRule type="cellIs" dxfId="7254" priority="871" stopIfTrue="1" operator="lessThan">
      <formula>0</formula>
    </cfRule>
  </conditionalFormatting>
  <conditionalFormatting sqref="K16">
    <cfRule type="expression" dxfId="7253" priority="869">
      <formula>$C16&lt;$E$3</formula>
    </cfRule>
  </conditionalFormatting>
  <conditionalFormatting sqref="K16">
    <cfRule type="expression" dxfId="7252" priority="866">
      <formula>$C16=$E$3</formula>
    </cfRule>
    <cfRule type="expression" dxfId="7251" priority="867">
      <formula>$C16&lt;$E$3</formula>
    </cfRule>
    <cfRule type="cellIs" dxfId="7250" priority="868" operator="equal">
      <formula>0</formula>
    </cfRule>
    <cfRule type="expression" dxfId="7249" priority="870">
      <formula>$C16&gt;$E$3</formula>
    </cfRule>
  </conditionalFormatting>
  <conditionalFormatting sqref="K16">
    <cfRule type="expression" dxfId="7248" priority="865">
      <formula>$E16=""</formula>
    </cfRule>
  </conditionalFormatting>
  <conditionalFormatting sqref="K16">
    <cfRule type="expression" dxfId="7247" priority="864">
      <formula>$E16=""</formula>
    </cfRule>
  </conditionalFormatting>
  <conditionalFormatting sqref="K16">
    <cfRule type="expression" dxfId="7246" priority="863">
      <formula>$E16=""</formula>
    </cfRule>
  </conditionalFormatting>
  <conditionalFormatting sqref="K16">
    <cfRule type="expression" dxfId="7245" priority="853">
      <formula>$C16&lt;$E$3</formula>
    </cfRule>
  </conditionalFormatting>
  <conditionalFormatting sqref="K16">
    <cfRule type="expression" dxfId="7244" priority="849">
      <formula>$C16=$E$3</formula>
    </cfRule>
    <cfRule type="expression" dxfId="7243" priority="850">
      <formula>$C16&lt;$E$3</formula>
    </cfRule>
    <cfRule type="cellIs" dxfId="7242" priority="851" operator="equal">
      <formula>0</formula>
    </cfRule>
    <cfRule type="expression" dxfId="7241" priority="852">
      <formula>$C16&gt;$E$3</formula>
    </cfRule>
  </conditionalFormatting>
  <conditionalFormatting sqref="K16">
    <cfRule type="expression" dxfId="7240" priority="848">
      <formula>$C16&lt;$E$3</formula>
    </cfRule>
  </conditionalFormatting>
  <conditionalFormatting sqref="K16">
    <cfRule type="expression" dxfId="7239" priority="844">
      <formula>$C16=$E$3</formula>
    </cfRule>
    <cfRule type="expression" dxfId="7238" priority="845">
      <formula>$C16&lt;$E$3</formula>
    </cfRule>
    <cfRule type="cellIs" dxfId="7237" priority="846" operator="equal">
      <formula>0</formula>
    </cfRule>
    <cfRule type="expression" dxfId="7236" priority="847">
      <formula>$C16&gt;$E$3</formula>
    </cfRule>
  </conditionalFormatting>
  <conditionalFormatting sqref="K16">
    <cfRule type="expression" dxfId="7235" priority="843">
      <formula>$C16&lt;$E$3</formula>
    </cfRule>
  </conditionalFormatting>
  <conditionalFormatting sqref="K16">
    <cfRule type="expression" dxfId="7234" priority="839">
      <formula>$C16=$E$3</formula>
    </cfRule>
    <cfRule type="expression" dxfId="7233" priority="840">
      <formula>$C16&lt;$E$3</formula>
    </cfRule>
    <cfRule type="cellIs" dxfId="7232" priority="841" operator="equal">
      <formula>0</formula>
    </cfRule>
    <cfRule type="expression" dxfId="7231" priority="842">
      <formula>$C16&gt;$E$3</formula>
    </cfRule>
  </conditionalFormatting>
  <conditionalFormatting sqref="K16">
    <cfRule type="expression" dxfId="7230" priority="838">
      <formula>$C16&lt;$E$3</formula>
    </cfRule>
  </conditionalFormatting>
  <conditionalFormatting sqref="K16">
    <cfRule type="expression" dxfId="7229" priority="834">
      <formula>$C16=$E$3</formula>
    </cfRule>
    <cfRule type="expression" dxfId="7228" priority="835">
      <formula>$C16&lt;$E$3</formula>
    </cfRule>
    <cfRule type="cellIs" dxfId="7227" priority="836" operator="equal">
      <formula>0</formula>
    </cfRule>
    <cfRule type="expression" dxfId="7226" priority="837">
      <formula>$C16&gt;$E$3</formula>
    </cfRule>
  </conditionalFormatting>
  <conditionalFormatting sqref="K16">
    <cfRule type="expression" dxfId="7225" priority="833">
      <formula>$E16=""</formula>
    </cfRule>
  </conditionalFormatting>
  <conditionalFormatting sqref="K16">
    <cfRule type="expression" dxfId="7224" priority="832">
      <formula>$C16&lt;$E$3</formula>
    </cfRule>
  </conditionalFormatting>
  <conditionalFormatting sqref="K16">
    <cfRule type="expression" dxfId="7223" priority="831">
      <formula>$E16=""</formula>
    </cfRule>
  </conditionalFormatting>
  <conditionalFormatting sqref="K16">
    <cfRule type="expression" dxfId="7222" priority="830">
      <formula>$E16=""</formula>
    </cfRule>
  </conditionalFormatting>
  <conditionalFormatting sqref="K16">
    <cfRule type="expression" dxfId="7221" priority="829">
      <formula>$C16&lt;$E$3</formula>
    </cfRule>
  </conditionalFormatting>
  <conditionalFormatting sqref="K16">
    <cfRule type="expression" dxfId="7220" priority="828">
      <formula>$E16=""</formula>
    </cfRule>
  </conditionalFormatting>
  <conditionalFormatting sqref="K16">
    <cfRule type="expression" dxfId="7219" priority="827">
      <formula>$C16&lt;$E$3</formula>
    </cfRule>
  </conditionalFormatting>
  <conditionalFormatting sqref="K16">
    <cfRule type="expression" dxfId="7218" priority="826">
      <formula>$E16=""</formula>
    </cfRule>
  </conditionalFormatting>
  <conditionalFormatting sqref="K16">
    <cfRule type="expression" dxfId="7217" priority="825">
      <formula>$C16&lt;$E$3</formula>
    </cfRule>
  </conditionalFormatting>
  <conditionalFormatting sqref="K16">
    <cfRule type="expression" dxfId="7216" priority="824">
      <formula>$E16=""</formula>
    </cfRule>
  </conditionalFormatting>
  <conditionalFormatting sqref="K16">
    <cfRule type="expression" dxfId="7215" priority="823">
      <formula>$C16&lt;$E$3</formula>
    </cfRule>
  </conditionalFormatting>
  <conditionalFormatting sqref="K16">
    <cfRule type="expression" dxfId="7214" priority="819">
      <formula>$C16=$E$3</formula>
    </cfRule>
    <cfRule type="expression" dxfId="7213" priority="820">
      <formula>$C16&lt;$E$3</formula>
    </cfRule>
    <cfRule type="cellIs" dxfId="7212" priority="821" operator="equal">
      <formula>0</formula>
    </cfRule>
    <cfRule type="expression" dxfId="7211" priority="822">
      <formula>$C16&gt;$E$3</formula>
    </cfRule>
  </conditionalFormatting>
  <conditionalFormatting sqref="K16">
    <cfRule type="expression" dxfId="7210" priority="818">
      <formula>$C16&lt;$E$3</formula>
    </cfRule>
  </conditionalFormatting>
  <conditionalFormatting sqref="K16">
    <cfRule type="expression" dxfId="7209" priority="814">
      <formula>$C16=$E$3</formula>
    </cfRule>
    <cfRule type="expression" dxfId="7208" priority="815">
      <formula>$C16&lt;$E$3</formula>
    </cfRule>
    <cfRule type="cellIs" dxfId="7207" priority="816" operator="equal">
      <formula>0</formula>
    </cfRule>
    <cfRule type="expression" dxfId="7206" priority="817">
      <formula>$C16&gt;$E$3</formula>
    </cfRule>
  </conditionalFormatting>
  <conditionalFormatting sqref="K16">
    <cfRule type="expression" dxfId="7205" priority="813">
      <formula>$C16&lt;$E$3</formula>
    </cfRule>
  </conditionalFormatting>
  <conditionalFormatting sqref="K16">
    <cfRule type="expression" dxfId="7204" priority="809">
      <formula>$C16=$E$3</formula>
    </cfRule>
    <cfRule type="expression" dxfId="7203" priority="810">
      <formula>$C16&lt;$E$3</formula>
    </cfRule>
    <cfRule type="cellIs" dxfId="7202" priority="811" operator="equal">
      <formula>0</formula>
    </cfRule>
    <cfRule type="expression" dxfId="7201" priority="812">
      <formula>$C16&gt;$E$3</formula>
    </cfRule>
  </conditionalFormatting>
  <conditionalFormatting sqref="K16">
    <cfRule type="expression" dxfId="7200" priority="808">
      <formula>$C16&lt;$E$3</formula>
    </cfRule>
  </conditionalFormatting>
  <conditionalFormatting sqref="K16">
    <cfRule type="expression" dxfId="7199" priority="804">
      <formula>$C16=$E$3</formula>
    </cfRule>
    <cfRule type="expression" dxfId="7198" priority="805">
      <formula>$C16&lt;$E$3</formula>
    </cfRule>
    <cfRule type="cellIs" dxfId="7197" priority="806" operator="equal">
      <formula>0</formula>
    </cfRule>
    <cfRule type="expression" dxfId="7196" priority="807">
      <formula>$C16&gt;$E$3</formula>
    </cfRule>
  </conditionalFormatting>
  <conditionalFormatting sqref="K16">
    <cfRule type="expression" dxfId="7195" priority="803">
      <formula>$E16=""</formula>
    </cfRule>
  </conditionalFormatting>
  <conditionalFormatting sqref="K16">
    <cfRule type="expression" dxfId="7194" priority="802">
      <formula>$C16&lt;$E$3</formula>
    </cfRule>
  </conditionalFormatting>
  <conditionalFormatting sqref="K16">
    <cfRule type="expression" dxfId="7193" priority="801">
      <formula>$E16=""</formula>
    </cfRule>
  </conditionalFormatting>
  <conditionalFormatting sqref="K16">
    <cfRule type="expression" dxfId="7192" priority="800">
      <formula>$E16=""</formula>
    </cfRule>
  </conditionalFormatting>
  <conditionalFormatting sqref="K16">
    <cfRule type="expression" dxfId="7191" priority="799">
      <formula>$C16&lt;$E$3</formula>
    </cfRule>
  </conditionalFormatting>
  <conditionalFormatting sqref="K16">
    <cfRule type="expression" dxfId="7190" priority="798">
      <formula>$E16=""</formula>
    </cfRule>
  </conditionalFormatting>
  <conditionalFormatting sqref="K16">
    <cfRule type="expression" dxfId="7189" priority="797">
      <formula>$C16&lt;$E$3</formula>
    </cfRule>
  </conditionalFormatting>
  <conditionalFormatting sqref="K16">
    <cfRule type="expression" dxfId="7188" priority="796">
      <formula>$E16=""</formula>
    </cfRule>
  </conditionalFormatting>
  <conditionalFormatting sqref="K16">
    <cfRule type="expression" dxfId="7187" priority="795">
      <formula>$C16&lt;$E$3</formula>
    </cfRule>
  </conditionalFormatting>
  <conditionalFormatting sqref="K16">
    <cfRule type="expression" dxfId="7186" priority="794">
      <formula>$E16=""</formula>
    </cfRule>
  </conditionalFormatting>
  <conditionalFormatting sqref="K16">
    <cfRule type="expression" dxfId="7185" priority="792">
      <formula>$C16&lt;$E$3</formula>
    </cfRule>
  </conditionalFormatting>
  <conditionalFormatting sqref="K16">
    <cfRule type="expression" dxfId="7184" priority="789">
      <formula>$C16=$E$3</formula>
    </cfRule>
    <cfRule type="expression" dxfId="7183" priority="790">
      <formula>$C16&lt;$E$3</formula>
    </cfRule>
    <cfRule type="cellIs" dxfId="7182" priority="791" operator="equal">
      <formula>0</formula>
    </cfRule>
    <cfRule type="expression" dxfId="7181" priority="793">
      <formula>$C16&gt;$E$3</formula>
    </cfRule>
  </conditionalFormatting>
  <conditionalFormatting sqref="K16">
    <cfRule type="expression" dxfId="7180" priority="788">
      <formula>$E16=""</formula>
    </cfRule>
  </conditionalFormatting>
  <conditionalFormatting sqref="K16">
    <cfRule type="expression" dxfId="7179" priority="787">
      <formula>$E16=""</formula>
    </cfRule>
  </conditionalFormatting>
  <conditionalFormatting sqref="K16">
    <cfRule type="expression" dxfId="7178" priority="786">
      <formula>$E16=""</formula>
    </cfRule>
  </conditionalFormatting>
  <conditionalFormatting sqref="H18">
    <cfRule type="cellIs" dxfId="7177" priority="781" stopIfTrue="1" operator="lessThan">
      <formula>0</formula>
    </cfRule>
  </conditionalFormatting>
  <conditionalFormatting sqref="H18">
    <cfRule type="expression" dxfId="7176" priority="782">
      <formula>$C18=$E$3</formula>
    </cfRule>
    <cfRule type="expression" dxfId="7175" priority="783">
      <formula>$C18&lt;$E$3</formula>
    </cfRule>
    <cfRule type="cellIs" dxfId="7174" priority="784" operator="equal">
      <formula>0</formula>
    </cfRule>
    <cfRule type="expression" dxfId="7173" priority="785">
      <formula>$C18&gt;$E$3</formula>
    </cfRule>
  </conditionalFormatting>
  <conditionalFormatting sqref="H18">
    <cfRule type="expression" dxfId="7172" priority="777">
      <formula>$C18=$E$3</formula>
    </cfRule>
    <cfRule type="expression" dxfId="7171" priority="778">
      <formula>$C18&lt;$E$3</formula>
    </cfRule>
    <cfRule type="cellIs" dxfId="7170" priority="779" operator="equal">
      <formula>0</formula>
    </cfRule>
    <cfRule type="expression" dxfId="7169" priority="780">
      <formula>$C18&gt;$E$3</formula>
    </cfRule>
  </conditionalFormatting>
  <conditionalFormatting sqref="H18">
    <cfRule type="expression" dxfId="7168" priority="776">
      <formula>$C18&lt;$E$3</formula>
    </cfRule>
  </conditionalFormatting>
  <conditionalFormatting sqref="H18">
    <cfRule type="expression" dxfId="7167" priority="775">
      <formula>$E18=""</formula>
    </cfRule>
  </conditionalFormatting>
  <conditionalFormatting sqref="H18">
    <cfRule type="expression" dxfId="7166" priority="771">
      <formula>$C18=$E$3</formula>
    </cfRule>
    <cfRule type="expression" dxfId="7165" priority="772">
      <formula>$C18&lt;$E$3</formula>
    </cfRule>
    <cfRule type="cellIs" dxfId="7164" priority="773" operator="equal">
      <formula>0</formula>
    </cfRule>
    <cfRule type="expression" dxfId="7163" priority="774">
      <formula>$C18&gt;$E$3</formula>
    </cfRule>
  </conditionalFormatting>
  <conditionalFormatting sqref="H18">
    <cfRule type="expression" dxfId="7162" priority="770">
      <formula>$C18&lt;$E$3</formula>
    </cfRule>
  </conditionalFormatting>
  <conditionalFormatting sqref="H18">
    <cfRule type="expression" dxfId="7161" priority="769">
      <formula>$E18=""</formula>
    </cfRule>
  </conditionalFormatting>
  <conditionalFormatting sqref="H18">
    <cfRule type="expression" dxfId="7160" priority="768">
      <formula>$C18&lt;$E$3</formula>
    </cfRule>
  </conditionalFormatting>
  <conditionalFormatting sqref="H18">
    <cfRule type="expression" dxfId="7159" priority="764">
      <formula>$C18=$E$3</formula>
    </cfRule>
    <cfRule type="expression" dxfId="7158" priority="765">
      <formula>$C18&lt;$E$3</formula>
    </cfRule>
    <cfRule type="cellIs" dxfId="7157" priority="766" operator="equal">
      <formula>0</formula>
    </cfRule>
    <cfRule type="expression" dxfId="7156" priority="767">
      <formula>$C18&gt;$E$3</formula>
    </cfRule>
  </conditionalFormatting>
  <conditionalFormatting sqref="H18">
    <cfRule type="expression" dxfId="7155" priority="763">
      <formula>$E18=""</formula>
    </cfRule>
  </conditionalFormatting>
  <conditionalFormatting sqref="H18">
    <cfRule type="expression" dxfId="7154" priority="762">
      <formula>$C18&lt;$E$3</formula>
    </cfRule>
  </conditionalFormatting>
  <conditionalFormatting sqref="H18">
    <cfRule type="expression" dxfId="7153" priority="761">
      <formula>$E18=""</formula>
    </cfRule>
  </conditionalFormatting>
  <conditionalFormatting sqref="H18">
    <cfRule type="expression" dxfId="7152" priority="760">
      <formula>$E18=""</formula>
    </cfRule>
  </conditionalFormatting>
  <conditionalFormatting sqref="H18">
    <cfRule type="expression" dxfId="7151" priority="759">
      <formula>$C18&lt;$E$3</formula>
    </cfRule>
  </conditionalFormatting>
  <conditionalFormatting sqref="H18">
    <cfRule type="expression" dxfId="7150" priority="758">
      <formula>$E18=""</formula>
    </cfRule>
  </conditionalFormatting>
  <conditionalFormatting sqref="H18">
    <cfRule type="expression" dxfId="7149" priority="757">
      <formula>$C18&lt;$E$3</formula>
    </cfRule>
  </conditionalFormatting>
  <conditionalFormatting sqref="H18">
    <cfRule type="expression" dxfId="7148" priority="756">
      <formula>$E18=""</formula>
    </cfRule>
  </conditionalFormatting>
  <conditionalFormatting sqref="H18">
    <cfRule type="expression" dxfId="7147" priority="755">
      <formula>$C18&lt;$E$3</formula>
    </cfRule>
  </conditionalFormatting>
  <conditionalFormatting sqref="H18">
    <cfRule type="expression" dxfId="7146" priority="754">
      <formula>$E18=""</formula>
    </cfRule>
  </conditionalFormatting>
  <conditionalFormatting sqref="K18">
    <cfRule type="cellIs" dxfId="7145" priority="753" stopIfTrue="1" operator="lessThan">
      <formula>0</formula>
    </cfRule>
  </conditionalFormatting>
  <conditionalFormatting sqref="K18">
    <cfRule type="expression" dxfId="7144" priority="751">
      <formula>$C18&lt;$E$3</formula>
    </cfRule>
  </conditionalFormatting>
  <conditionalFormatting sqref="K18">
    <cfRule type="expression" dxfId="7143" priority="748">
      <formula>$C18=$E$3</formula>
    </cfRule>
    <cfRule type="expression" dxfId="7142" priority="749">
      <formula>$C18&lt;$E$3</formula>
    </cfRule>
    <cfRule type="cellIs" dxfId="7141" priority="750" operator="equal">
      <formula>0</formula>
    </cfRule>
    <cfRule type="expression" dxfId="7140" priority="752">
      <formula>$C18&gt;$E$3</formula>
    </cfRule>
  </conditionalFormatting>
  <conditionalFormatting sqref="K18">
    <cfRule type="expression" dxfId="7139" priority="747">
      <formula>$E18=""</formula>
    </cfRule>
  </conditionalFormatting>
  <conditionalFormatting sqref="K18">
    <cfRule type="expression" dxfId="7138" priority="746">
      <formula>$E18=""</formula>
    </cfRule>
  </conditionalFormatting>
  <conditionalFormatting sqref="K18">
    <cfRule type="expression" dxfId="7137" priority="745">
      <formula>$E18=""</formula>
    </cfRule>
  </conditionalFormatting>
  <conditionalFormatting sqref="L18">
    <cfRule type="cellIs" dxfId="7136" priority="744" stopIfTrue="1" operator="lessThan">
      <formula>0</formula>
    </cfRule>
  </conditionalFormatting>
  <conditionalFormatting sqref="L18">
    <cfRule type="expression" dxfId="7135" priority="742">
      <formula>$C18&lt;$E$3</formula>
    </cfRule>
  </conditionalFormatting>
  <conditionalFormatting sqref="L18">
    <cfRule type="expression" dxfId="7134" priority="739">
      <formula>$C18=$E$3</formula>
    </cfRule>
    <cfRule type="expression" dxfId="7133" priority="740">
      <formula>$C18&lt;$E$3</formula>
    </cfRule>
    <cfRule type="cellIs" dxfId="7132" priority="741" operator="equal">
      <formula>0</formula>
    </cfRule>
    <cfRule type="expression" dxfId="7131" priority="743">
      <formula>$C18&gt;$E$3</formula>
    </cfRule>
  </conditionalFormatting>
  <conditionalFormatting sqref="L18">
    <cfRule type="expression" dxfId="7130" priority="738">
      <formula>$E18=""</formula>
    </cfRule>
  </conditionalFormatting>
  <conditionalFormatting sqref="L18">
    <cfRule type="expression" dxfId="7129" priority="737">
      <formula>$E18=""</formula>
    </cfRule>
  </conditionalFormatting>
  <conditionalFormatting sqref="L18">
    <cfRule type="expression" dxfId="7128" priority="736">
      <formula>$E18=""</formula>
    </cfRule>
  </conditionalFormatting>
  <conditionalFormatting sqref="K18">
    <cfRule type="expression" dxfId="7127" priority="735">
      <formula>$C18&lt;$E$3</formula>
    </cfRule>
  </conditionalFormatting>
  <conditionalFormatting sqref="K18">
    <cfRule type="expression" dxfId="7126" priority="731">
      <formula>$C18=$E$3</formula>
    </cfRule>
    <cfRule type="expression" dxfId="7125" priority="732">
      <formula>$C18&lt;$E$3</formula>
    </cfRule>
    <cfRule type="cellIs" dxfId="7124" priority="733" operator="equal">
      <formula>0</formula>
    </cfRule>
    <cfRule type="expression" dxfId="7123" priority="734">
      <formula>$C18&gt;$E$3</formula>
    </cfRule>
  </conditionalFormatting>
  <conditionalFormatting sqref="K18">
    <cfRule type="expression" dxfId="7122" priority="730">
      <formula>$C18&lt;$E$3</formula>
    </cfRule>
  </conditionalFormatting>
  <conditionalFormatting sqref="K18">
    <cfRule type="expression" dxfId="7121" priority="726">
      <formula>$C18=$E$3</formula>
    </cfRule>
    <cfRule type="expression" dxfId="7120" priority="727">
      <formula>$C18&lt;$E$3</formula>
    </cfRule>
    <cfRule type="cellIs" dxfId="7119" priority="728" operator="equal">
      <formula>0</formula>
    </cfRule>
    <cfRule type="expression" dxfId="7118" priority="729">
      <formula>$C18&gt;$E$3</formula>
    </cfRule>
  </conditionalFormatting>
  <conditionalFormatting sqref="K18">
    <cfRule type="expression" dxfId="7117" priority="725">
      <formula>$C18&lt;$E$3</formula>
    </cfRule>
  </conditionalFormatting>
  <conditionalFormatting sqref="K18">
    <cfRule type="expression" dxfId="7116" priority="721">
      <formula>$C18=$E$3</formula>
    </cfRule>
    <cfRule type="expression" dxfId="7115" priority="722">
      <formula>$C18&lt;$E$3</formula>
    </cfRule>
    <cfRule type="cellIs" dxfId="7114" priority="723" operator="equal">
      <formula>0</formula>
    </cfRule>
    <cfRule type="expression" dxfId="7113" priority="724">
      <formula>$C18&gt;$E$3</formula>
    </cfRule>
  </conditionalFormatting>
  <conditionalFormatting sqref="K18">
    <cfRule type="expression" dxfId="7112" priority="720">
      <formula>$C18&lt;$E$3</formula>
    </cfRule>
  </conditionalFormatting>
  <conditionalFormatting sqref="K18">
    <cfRule type="expression" dxfId="7111" priority="716">
      <formula>$C18=$E$3</formula>
    </cfRule>
    <cfRule type="expression" dxfId="7110" priority="717">
      <formula>$C18&lt;$E$3</formula>
    </cfRule>
    <cfRule type="cellIs" dxfId="7109" priority="718" operator="equal">
      <formula>0</formula>
    </cfRule>
    <cfRule type="expression" dxfId="7108" priority="719">
      <formula>$C18&gt;$E$3</formula>
    </cfRule>
  </conditionalFormatting>
  <conditionalFormatting sqref="K18">
    <cfRule type="expression" dxfId="7107" priority="715">
      <formula>$E18=""</formula>
    </cfRule>
  </conditionalFormatting>
  <conditionalFormatting sqref="K18">
    <cfRule type="expression" dxfId="7106" priority="714">
      <formula>$C18&lt;$E$3</formula>
    </cfRule>
  </conditionalFormatting>
  <conditionalFormatting sqref="K18">
    <cfRule type="expression" dxfId="7105" priority="713">
      <formula>$E18=""</formula>
    </cfRule>
  </conditionalFormatting>
  <conditionalFormatting sqref="K18">
    <cfRule type="expression" dxfId="7104" priority="712">
      <formula>$E18=""</formula>
    </cfRule>
  </conditionalFormatting>
  <conditionalFormatting sqref="K18">
    <cfRule type="expression" dxfId="7103" priority="711">
      <formula>$C18&lt;$E$3</formula>
    </cfRule>
  </conditionalFormatting>
  <conditionalFormatting sqref="K18">
    <cfRule type="expression" dxfId="7102" priority="710">
      <formula>$E18=""</formula>
    </cfRule>
  </conditionalFormatting>
  <conditionalFormatting sqref="K18">
    <cfRule type="expression" dxfId="7101" priority="709">
      <formula>$C18&lt;$E$3</formula>
    </cfRule>
  </conditionalFormatting>
  <conditionalFormatting sqref="K18">
    <cfRule type="expression" dxfId="7100" priority="708">
      <formula>$E18=""</formula>
    </cfRule>
  </conditionalFormatting>
  <conditionalFormatting sqref="K18">
    <cfRule type="expression" dxfId="7099" priority="707">
      <formula>$C18&lt;$E$3</formula>
    </cfRule>
  </conditionalFormatting>
  <conditionalFormatting sqref="K18">
    <cfRule type="expression" dxfId="7098" priority="706">
      <formula>$E18=""</formula>
    </cfRule>
  </conditionalFormatting>
  <conditionalFormatting sqref="K18">
    <cfRule type="expression" dxfId="7097" priority="705">
      <formula>$C18&lt;$E$3</formula>
    </cfRule>
  </conditionalFormatting>
  <conditionalFormatting sqref="K18">
    <cfRule type="expression" dxfId="7096" priority="701">
      <formula>$C18=$E$3</formula>
    </cfRule>
    <cfRule type="expression" dxfId="7095" priority="702">
      <formula>$C18&lt;$E$3</formula>
    </cfRule>
    <cfRule type="cellIs" dxfId="7094" priority="703" operator="equal">
      <formula>0</formula>
    </cfRule>
    <cfRule type="expression" dxfId="7093" priority="704">
      <formula>$C18&gt;$E$3</formula>
    </cfRule>
  </conditionalFormatting>
  <conditionalFormatting sqref="K18">
    <cfRule type="expression" dxfId="7092" priority="700">
      <formula>$C18&lt;$E$3</formula>
    </cfRule>
  </conditionalFormatting>
  <conditionalFormatting sqref="K18">
    <cfRule type="expression" dxfId="7091" priority="696">
      <formula>$C18=$E$3</formula>
    </cfRule>
    <cfRule type="expression" dxfId="7090" priority="697">
      <formula>$C18&lt;$E$3</formula>
    </cfRule>
    <cfRule type="cellIs" dxfId="7089" priority="698" operator="equal">
      <formula>0</formula>
    </cfRule>
    <cfRule type="expression" dxfId="7088" priority="699">
      <formula>$C18&gt;$E$3</formula>
    </cfRule>
  </conditionalFormatting>
  <conditionalFormatting sqref="K18">
    <cfRule type="expression" dxfId="7087" priority="695">
      <formula>$C18&lt;$E$3</formula>
    </cfRule>
  </conditionalFormatting>
  <conditionalFormatting sqref="K18">
    <cfRule type="expression" dxfId="7086" priority="691">
      <formula>$C18=$E$3</formula>
    </cfRule>
    <cfRule type="expression" dxfId="7085" priority="692">
      <formula>$C18&lt;$E$3</formula>
    </cfRule>
    <cfRule type="cellIs" dxfId="7084" priority="693" operator="equal">
      <formula>0</formula>
    </cfRule>
    <cfRule type="expression" dxfId="7083" priority="694">
      <formula>$C18&gt;$E$3</formula>
    </cfRule>
  </conditionalFormatting>
  <conditionalFormatting sqref="K18">
    <cfRule type="expression" dxfId="7082" priority="690">
      <formula>$C18&lt;$E$3</formula>
    </cfRule>
  </conditionalFormatting>
  <conditionalFormatting sqref="K18">
    <cfRule type="expression" dxfId="7081" priority="686">
      <formula>$C18=$E$3</formula>
    </cfRule>
    <cfRule type="expression" dxfId="7080" priority="687">
      <formula>$C18&lt;$E$3</formula>
    </cfRule>
    <cfRule type="cellIs" dxfId="7079" priority="688" operator="equal">
      <formula>0</formula>
    </cfRule>
    <cfRule type="expression" dxfId="7078" priority="689">
      <formula>$C18&gt;$E$3</formula>
    </cfRule>
  </conditionalFormatting>
  <conditionalFormatting sqref="K18">
    <cfRule type="expression" dxfId="7077" priority="685">
      <formula>$E18=""</formula>
    </cfRule>
  </conditionalFormatting>
  <conditionalFormatting sqref="K18">
    <cfRule type="expression" dxfId="7076" priority="684">
      <formula>$C18&lt;$E$3</formula>
    </cfRule>
  </conditionalFormatting>
  <conditionalFormatting sqref="K18">
    <cfRule type="expression" dxfId="7075" priority="683">
      <formula>$E18=""</formula>
    </cfRule>
  </conditionalFormatting>
  <conditionalFormatting sqref="K18">
    <cfRule type="expression" dxfId="7074" priority="682">
      <formula>$E18=""</formula>
    </cfRule>
  </conditionalFormatting>
  <conditionalFormatting sqref="K18">
    <cfRule type="expression" dxfId="7073" priority="681">
      <formula>$C18&lt;$E$3</formula>
    </cfRule>
  </conditionalFormatting>
  <conditionalFormatting sqref="K18">
    <cfRule type="expression" dxfId="7072" priority="680">
      <formula>$E18=""</formula>
    </cfRule>
  </conditionalFormatting>
  <conditionalFormatting sqref="K18">
    <cfRule type="expression" dxfId="7071" priority="679">
      <formula>$C18&lt;$E$3</formula>
    </cfRule>
  </conditionalFormatting>
  <conditionalFormatting sqref="K18">
    <cfRule type="expression" dxfId="7070" priority="678">
      <formula>$E18=""</formula>
    </cfRule>
  </conditionalFormatting>
  <conditionalFormatting sqref="K18">
    <cfRule type="expression" dxfId="7069" priority="677">
      <formula>$C18&lt;$E$3</formula>
    </cfRule>
  </conditionalFormatting>
  <conditionalFormatting sqref="K18">
    <cfRule type="expression" dxfId="7068" priority="676">
      <formula>$E18=""</formula>
    </cfRule>
  </conditionalFormatting>
  <conditionalFormatting sqref="K18">
    <cfRule type="expression" dxfId="7067" priority="674">
      <formula>$C18&lt;$E$3</formula>
    </cfRule>
  </conditionalFormatting>
  <conditionalFormatting sqref="K18">
    <cfRule type="expression" dxfId="7066" priority="671">
      <formula>$C18=$E$3</formula>
    </cfRule>
    <cfRule type="expression" dxfId="7065" priority="672">
      <formula>$C18&lt;$E$3</formula>
    </cfRule>
    <cfRule type="cellIs" dxfId="7064" priority="673" operator="equal">
      <formula>0</formula>
    </cfRule>
    <cfRule type="expression" dxfId="7063" priority="675">
      <formula>$C18&gt;$E$3</formula>
    </cfRule>
  </conditionalFormatting>
  <conditionalFormatting sqref="K18">
    <cfRule type="expression" dxfId="7062" priority="670">
      <formula>$E18=""</formula>
    </cfRule>
  </conditionalFormatting>
  <conditionalFormatting sqref="K18">
    <cfRule type="expression" dxfId="7061" priority="669">
      <formula>$E18=""</formula>
    </cfRule>
  </conditionalFormatting>
  <conditionalFormatting sqref="K18">
    <cfRule type="expression" dxfId="7060" priority="668">
      <formula>$E18=""</formula>
    </cfRule>
  </conditionalFormatting>
  <conditionalFormatting sqref="H20">
    <cfRule type="cellIs" dxfId="7059" priority="663" stopIfTrue="1" operator="lessThan">
      <formula>0</formula>
    </cfRule>
  </conditionalFormatting>
  <conditionalFormatting sqref="H20">
    <cfRule type="expression" dxfId="7058" priority="664">
      <formula>$C20=$E$3</formula>
    </cfRule>
    <cfRule type="expression" dxfId="7057" priority="665">
      <formula>$C20&lt;$E$3</formula>
    </cfRule>
    <cfRule type="cellIs" dxfId="7056" priority="666" operator="equal">
      <formula>0</formula>
    </cfRule>
    <cfRule type="expression" dxfId="7055" priority="667">
      <formula>$C20&gt;$E$3</formula>
    </cfRule>
  </conditionalFormatting>
  <conditionalFormatting sqref="H20">
    <cfRule type="expression" dxfId="7054" priority="659">
      <formula>$C20=$E$3</formula>
    </cfRule>
    <cfRule type="expression" dxfId="7053" priority="660">
      <formula>$C20&lt;$E$3</formula>
    </cfRule>
    <cfRule type="cellIs" dxfId="7052" priority="661" operator="equal">
      <formula>0</formula>
    </cfRule>
    <cfRule type="expression" dxfId="7051" priority="662">
      <formula>$C20&gt;$E$3</formula>
    </cfRule>
  </conditionalFormatting>
  <conditionalFormatting sqref="H20">
    <cfRule type="expression" dxfId="7050" priority="658">
      <formula>$C20&lt;$E$3</formula>
    </cfRule>
  </conditionalFormatting>
  <conditionalFormatting sqref="H20">
    <cfRule type="expression" dxfId="7049" priority="657">
      <formula>$E20=""</formula>
    </cfRule>
  </conditionalFormatting>
  <conditionalFormatting sqref="H20">
    <cfRule type="expression" dxfId="7048" priority="653">
      <formula>$C20=$E$3</formula>
    </cfRule>
    <cfRule type="expression" dxfId="7047" priority="654">
      <formula>$C20&lt;$E$3</formula>
    </cfRule>
    <cfRule type="cellIs" dxfId="7046" priority="655" operator="equal">
      <formula>0</formula>
    </cfRule>
    <cfRule type="expression" dxfId="7045" priority="656">
      <formula>$C20&gt;$E$3</formula>
    </cfRule>
  </conditionalFormatting>
  <conditionalFormatting sqref="H20">
    <cfRule type="expression" dxfId="7044" priority="652">
      <formula>$C20&lt;$E$3</formula>
    </cfRule>
  </conditionalFormatting>
  <conditionalFormatting sqref="H20">
    <cfRule type="expression" dxfId="7043" priority="651">
      <formula>$E20=""</formula>
    </cfRule>
  </conditionalFormatting>
  <conditionalFormatting sqref="H20">
    <cfRule type="expression" dxfId="7042" priority="650">
      <formula>$C20&lt;$E$3</formula>
    </cfRule>
  </conditionalFormatting>
  <conditionalFormatting sqref="H20">
    <cfRule type="expression" dxfId="7041" priority="646">
      <formula>$C20=$E$3</formula>
    </cfRule>
    <cfRule type="expression" dxfId="7040" priority="647">
      <formula>$C20&lt;$E$3</formula>
    </cfRule>
    <cfRule type="cellIs" dxfId="7039" priority="648" operator="equal">
      <formula>0</formula>
    </cfRule>
    <cfRule type="expression" dxfId="7038" priority="649">
      <formula>$C20&gt;$E$3</formula>
    </cfRule>
  </conditionalFormatting>
  <conditionalFormatting sqref="H20">
    <cfRule type="expression" dxfId="7037" priority="645">
      <formula>$E20=""</formula>
    </cfRule>
  </conditionalFormatting>
  <conditionalFormatting sqref="H20">
    <cfRule type="expression" dxfId="7036" priority="644">
      <formula>$C20&lt;$E$3</formula>
    </cfRule>
  </conditionalFormatting>
  <conditionalFormatting sqref="H20">
    <cfRule type="expression" dxfId="7035" priority="643">
      <formula>$E20=""</formula>
    </cfRule>
  </conditionalFormatting>
  <conditionalFormatting sqref="H20">
    <cfRule type="expression" dxfId="7034" priority="642">
      <formula>$E20=""</formula>
    </cfRule>
  </conditionalFormatting>
  <conditionalFormatting sqref="H20">
    <cfRule type="expression" dxfId="7033" priority="641">
      <formula>$C20&lt;$E$3</formula>
    </cfRule>
  </conditionalFormatting>
  <conditionalFormatting sqref="H20">
    <cfRule type="expression" dxfId="7032" priority="640">
      <formula>$E20=""</formula>
    </cfRule>
  </conditionalFormatting>
  <conditionalFormatting sqref="H20">
    <cfRule type="expression" dxfId="7031" priority="639">
      <formula>$C20&lt;$E$3</formula>
    </cfRule>
  </conditionalFormatting>
  <conditionalFormatting sqref="H20">
    <cfRule type="expression" dxfId="7030" priority="638">
      <formula>$E20=""</formula>
    </cfRule>
  </conditionalFormatting>
  <conditionalFormatting sqref="H20">
    <cfRule type="expression" dxfId="7029" priority="637">
      <formula>$C20&lt;$E$3</formula>
    </cfRule>
  </conditionalFormatting>
  <conditionalFormatting sqref="H20">
    <cfRule type="expression" dxfId="7028" priority="636">
      <formula>$E20=""</formula>
    </cfRule>
  </conditionalFormatting>
  <conditionalFormatting sqref="K20">
    <cfRule type="cellIs" dxfId="7027" priority="635" stopIfTrue="1" operator="lessThan">
      <formula>0</formula>
    </cfRule>
  </conditionalFormatting>
  <conditionalFormatting sqref="K20">
    <cfRule type="expression" dxfId="7026" priority="633">
      <formula>$C20&lt;$E$3</formula>
    </cfRule>
  </conditionalFormatting>
  <conditionalFormatting sqref="K20">
    <cfRule type="expression" dxfId="7025" priority="630">
      <formula>$C20=$E$3</formula>
    </cfRule>
    <cfRule type="expression" dxfId="7024" priority="631">
      <formula>$C20&lt;$E$3</formula>
    </cfRule>
    <cfRule type="cellIs" dxfId="7023" priority="632" operator="equal">
      <formula>0</formula>
    </cfRule>
    <cfRule type="expression" dxfId="7022" priority="634">
      <formula>$C20&gt;$E$3</formula>
    </cfRule>
  </conditionalFormatting>
  <conditionalFormatting sqref="K20">
    <cfRule type="expression" dxfId="7021" priority="629">
      <formula>$E20=""</formula>
    </cfRule>
  </conditionalFormatting>
  <conditionalFormatting sqref="K20">
    <cfRule type="expression" dxfId="7020" priority="628">
      <formula>$E20=""</formula>
    </cfRule>
  </conditionalFormatting>
  <conditionalFormatting sqref="K20">
    <cfRule type="expression" dxfId="7019" priority="627">
      <formula>$E20=""</formula>
    </cfRule>
  </conditionalFormatting>
  <conditionalFormatting sqref="J20 L20">
    <cfRule type="cellIs" dxfId="7018" priority="626" stopIfTrue="1" operator="lessThan">
      <formula>0</formula>
    </cfRule>
  </conditionalFormatting>
  <conditionalFormatting sqref="J20 L20">
    <cfRule type="expression" dxfId="7017" priority="624">
      <formula>$C20&lt;$E$3</formula>
    </cfRule>
  </conditionalFormatting>
  <conditionalFormatting sqref="J20 L20">
    <cfRule type="expression" dxfId="7016" priority="621">
      <formula>$C20=$E$3</formula>
    </cfRule>
    <cfRule type="expression" dxfId="7015" priority="622">
      <formula>$C20&lt;$E$3</formula>
    </cfRule>
    <cfRule type="cellIs" dxfId="7014" priority="623" operator="equal">
      <formula>0</formula>
    </cfRule>
    <cfRule type="expression" dxfId="7013" priority="625">
      <formula>$C20&gt;$E$3</formula>
    </cfRule>
  </conditionalFormatting>
  <conditionalFormatting sqref="J20 L20">
    <cfRule type="expression" dxfId="7012" priority="620">
      <formula>$E20=""</formula>
    </cfRule>
  </conditionalFormatting>
  <conditionalFormatting sqref="J20 L20">
    <cfRule type="expression" dxfId="7011" priority="619">
      <formula>$E20=""</formula>
    </cfRule>
  </conditionalFormatting>
  <conditionalFormatting sqref="J20 L20">
    <cfRule type="expression" dxfId="7010" priority="618">
      <formula>$E20=""</formula>
    </cfRule>
  </conditionalFormatting>
  <conditionalFormatting sqref="K20">
    <cfRule type="expression" dxfId="7009" priority="617">
      <formula>$C20&lt;$E$3</formula>
    </cfRule>
  </conditionalFormatting>
  <conditionalFormatting sqref="K20">
    <cfRule type="expression" dxfId="7008" priority="613">
      <formula>$C20=$E$3</formula>
    </cfRule>
    <cfRule type="expression" dxfId="7007" priority="614">
      <formula>$C20&lt;$E$3</formula>
    </cfRule>
    <cfRule type="cellIs" dxfId="7006" priority="615" operator="equal">
      <formula>0</formula>
    </cfRule>
    <cfRule type="expression" dxfId="7005" priority="616">
      <formula>$C20&gt;$E$3</formula>
    </cfRule>
  </conditionalFormatting>
  <conditionalFormatting sqref="K20">
    <cfRule type="expression" dxfId="7004" priority="612">
      <formula>$C20&lt;$E$3</formula>
    </cfRule>
  </conditionalFormatting>
  <conditionalFormatting sqref="K20">
    <cfRule type="expression" dxfId="7003" priority="608">
      <formula>$C20=$E$3</formula>
    </cfRule>
    <cfRule type="expression" dxfId="7002" priority="609">
      <formula>$C20&lt;$E$3</formula>
    </cfRule>
    <cfRule type="cellIs" dxfId="7001" priority="610" operator="equal">
      <formula>0</formula>
    </cfRule>
    <cfRule type="expression" dxfId="7000" priority="611">
      <formula>$C20&gt;$E$3</formula>
    </cfRule>
  </conditionalFormatting>
  <conditionalFormatting sqref="K20">
    <cfRule type="expression" dxfId="6999" priority="607">
      <formula>$C20&lt;$E$3</formula>
    </cfRule>
  </conditionalFormatting>
  <conditionalFormatting sqref="K20">
    <cfRule type="expression" dxfId="6998" priority="603">
      <formula>$C20=$E$3</formula>
    </cfRule>
    <cfRule type="expression" dxfId="6997" priority="604">
      <formula>$C20&lt;$E$3</formula>
    </cfRule>
    <cfRule type="cellIs" dxfId="6996" priority="605" operator="equal">
      <formula>0</formula>
    </cfRule>
    <cfRule type="expression" dxfId="6995" priority="606">
      <formula>$C20&gt;$E$3</formula>
    </cfRule>
  </conditionalFormatting>
  <conditionalFormatting sqref="K20">
    <cfRule type="expression" dxfId="6994" priority="602">
      <formula>$C20&lt;$E$3</formula>
    </cfRule>
  </conditionalFormatting>
  <conditionalFormatting sqref="K20">
    <cfRule type="expression" dxfId="6993" priority="598">
      <formula>$C20=$E$3</formula>
    </cfRule>
    <cfRule type="expression" dxfId="6992" priority="599">
      <formula>$C20&lt;$E$3</formula>
    </cfRule>
    <cfRule type="cellIs" dxfId="6991" priority="600" operator="equal">
      <formula>0</formula>
    </cfRule>
    <cfRule type="expression" dxfId="6990" priority="601">
      <formula>$C20&gt;$E$3</formula>
    </cfRule>
  </conditionalFormatting>
  <conditionalFormatting sqref="K20">
    <cfRule type="expression" dxfId="6989" priority="597">
      <formula>$E20=""</formula>
    </cfRule>
  </conditionalFormatting>
  <conditionalFormatting sqref="K20">
    <cfRule type="expression" dxfId="6988" priority="596">
      <formula>$C20&lt;$E$3</formula>
    </cfRule>
  </conditionalFormatting>
  <conditionalFormatting sqref="K20">
    <cfRule type="expression" dxfId="6987" priority="595">
      <formula>$E20=""</formula>
    </cfRule>
  </conditionalFormatting>
  <conditionalFormatting sqref="K20">
    <cfRule type="expression" dxfId="6986" priority="594">
      <formula>$E20=""</formula>
    </cfRule>
  </conditionalFormatting>
  <conditionalFormatting sqref="K20">
    <cfRule type="expression" dxfId="6985" priority="593">
      <formula>$C20&lt;$E$3</formula>
    </cfRule>
  </conditionalFormatting>
  <conditionalFormatting sqref="K20">
    <cfRule type="expression" dxfId="6984" priority="592">
      <formula>$E20=""</formula>
    </cfRule>
  </conditionalFormatting>
  <conditionalFormatting sqref="K20">
    <cfRule type="expression" dxfId="6983" priority="591">
      <formula>$C20&lt;$E$3</formula>
    </cfRule>
  </conditionalFormatting>
  <conditionalFormatting sqref="K20">
    <cfRule type="expression" dxfId="6982" priority="590">
      <formula>$E20=""</formula>
    </cfRule>
  </conditionalFormatting>
  <conditionalFormatting sqref="K20">
    <cfRule type="expression" dxfId="6981" priority="589">
      <formula>$C20&lt;$E$3</formula>
    </cfRule>
  </conditionalFormatting>
  <conditionalFormatting sqref="K20">
    <cfRule type="expression" dxfId="6980" priority="588">
      <formula>$E20=""</formula>
    </cfRule>
  </conditionalFormatting>
  <conditionalFormatting sqref="K20">
    <cfRule type="expression" dxfId="6979" priority="587">
      <formula>$C20&lt;$E$3</formula>
    </cfRule>
  </conditionalFormatting>
  <conditionalFormatting sqref="K20">
    <cfRule type="expression" dxfId="6978" priority="583">
      <formula>$C20=$E$3</formula>
    </cfRule>
    <cfRule type="expression" dxfId="6977" priority="584">
      <formula>$C20&lt;$E$3</formula>
    </cfRule>
    <cfRule type="cellIs" dxfId="6976" priority="585" operator="equal">
      <formula>0</formula>
    </cfRule>
    <cfRule type="expression" dxfId="6975" priority="586">
      <formula>$C20&gt;$E$3</formula>
    </cfRule>
  </conditionalFormatting>
  <conditionalFormatting sqref="K20">
    <cfRule type="expression" dxfId="6974" priority="582">
      <formula>$C20&lt;$E$3</formula>
    </cfRule>
  </conditionalFormatting>
  <conditionalFormatting sqref="K20">
    <cfRule type="expression" dxfId="6973" priority="578">
      <formula>$C20=$E$3</formula>
    </cfRule>
    <cfRule type="expression" dxfId="6972" priority="579">
      <formula>$C20&lt;$E$3</formula>
    </cfRule>
    <cfRule type="cellIs" dxfId="6971" priority="580" operator="equal">
      <formula>0</formula>
    </cfRule>
    <cfRule type="expression" dxfId="6970" priority="581">
      <formula>$C20&gt;$E$3</formula>
    </cfRule>
  </conditionalFormatting>
  <conditionalFormatting sqref="K20">
    <cfRule type="expression" dxfId="6969" priority="577">
      <formula>$C20&lt;$E$3</formula>
    </cfRule>
  </conditionalFormatting>
  <conditionalFormatting sqref="K20">
    <cfRule type="expression" dxfId="6968" priority="573">
      <formula>$C20=$E$3</formula>
    </cfRule>
    <cfRule type="expression" dxfId="6967" priority="574">
      <formula>$C20&lt;$E$3</formula>
    </cfRule>
    <cfRule type="cellIs" dxfId="6966" priority="575" operator="equal">
      <formula>0</formula>
    </cfRule>
    <cfRule type="expression" dxfId="6965" priority="576">
      <formula>$C20&gt;$E$3</formula>
    </cfRule>
  </conditionalFormatting>
  <conditionalFormatting sqref="K20">
    <cfRule type="expression" dxfId="6964" priority="572">
      <formula>$C20&lt;$E$3</formula>
    </cfRule>
  </conditionalFormatting>
  <conditionalFormatting sqref="K20">
    <cfRule type="expression" dxfId="6963" priority="568">
      <formula>$C20=$E$3</formula>
    </cfRule>
    <cfRule type="expression" dxfId="6962" priority="569">
      <formula>$C20&lt;$E$3</formula>
    </cfRule>
    <cfRule type="cellIs" dxfId="6961" priority="570" operator="equal">
      <formula>0</formula>
    </cfRule>
    <cfRule type="expression" dxfId="6960" priority="571">
      <formula>$C20&gt;$E$3</formula>
    </cfRule>
  </conditionalFormatting>
  <conditionalFormatting sqref="K20">
    <cfRule type="expression" dxfId="6959" priority="567">
      <formula>$E20=""</formula>
    </cfRule>
  </conditionalFormatting>
  <conditionalFormatting sqref="K20">
    <cfRule type="expression" dxfId="6958" priority="566">
      <formula>$C20&lt;$E$3</formula>
    </cfRule>
  </conditionalFormatting>
  <conditionalFormatting sqref="K20">
    <cfRule type="expression" dxfId="6957" priority="565">
      <formula>$E20=""</formula>
    </cfRule>
  </conditionalFormatting>
  <conditionalFormatting sqref="K20">
    <cfRule type="expression" dxfId="6956" priority="564">
      <formula>$E20=""</formula>
    </cfRule>
  </conditionalFormatting>
  <conditionalFormatting sqref="K20">
    <cfRule type="expression" dxfId="6955" priority="563">
      <formula>$C20&lt;$E$3</formula>
    </cfRule>
  </conditionalFormatting>
  <conditionalFormatting sqref="K20">
    <cfRule type="expression" dxfId="6954" priority="562">
      <formula>$E20=""</formula>
    </cfRule>
  </conditionalFormatting>
  <conditionalFormatting sqref="K20">
    <cfRule type="expression" dxfId="6953" priority="561">
      <formula>$C20&lt;$E$3</formula>
    </cfRule>
  </conditionalFormatting>
  <conditionalFormatting sqref="K20">
    <cfRule type="expression" dxfId="6952" priority="560">
      <formula>$E20=""</formula>
    </cfRule>
  </conditionalFormatting>
  <conditionalFormatting sqref="K20">
    <cfRule type="expression" dxfId="6951" priority="559">
      <formula>$C20&lt;$E$3</formula>
    </cfRule>
  </conditionalFormatting>
  <conditionalFormatting sqref="K20">
    <cfRule type="expression" dxfId="6950" priority="558">
      <formula>$E20=""</formula>
    </cfRule>
  </conditionalFormatting>
  <conditionalFormatting sqref="K20">
    <cfRule type="expression" dxfId="6949" priority="556">
      <formula>$C20&lt;$E$3</formula>
    </cfRule>
  </conditionalFormatting>
  <conditionalFormatting sqref="K20">
    <cfRule type="expression" dxfId="6948" priority="553">
      <formula>$C20=$E$3</formula>
    </cfRule>
    <cfRule type="expression" dxfId="6947" priority="554">
      <formula>$C20&lt;$E$3</formula>
    </cfRule>
    <cfRule type="cellIs" dxfId="6946" priority="555" operator="equal">
      <formula>0</formula>
    </cfRule>
    <cfRule type="expression" dxfId="6945" priority="557">
      <formula>$C20&gt;$E$3</formula>
    </cfRule>
  </conditionalFormatting>
  <conditionalFormatting sqref="K20">
    <cfRule type="expression" dxfId="6944" priority="552">
      <formula>$E20=""</formula>
    </cfRule>
  </conditionalFormatting>
  <conditionalFormatting sqref="K20">
    <cfRule type="expression" dxfId="6943" priority="551">
      <formula>$E20=""</formula>
    </cfRule>
  </conditionalFormatting>
  <conditionalFormatting sqref="K20">
    <cfRule type="expression" dxfId="6942" priority="550">
      <formula>$E20=""</formula>
    </cfRule>
  </conditionalFormatting>
  <conditionalFormatting sqref="H24">
    <cfRule type="cellIs" dxfId="6941" priority="545" stopIfTrue="1" operator="lessThan">
      <formula>0</formula>
    </cfRule>
  </conditionalFormatting>
  <conditionalFormatting sqref="H24">
    <cfRule type="expression" dxfId="6940" priority="546">
      <formula>$C24=$E$3</formula>
    </cfRule>
    <cfRule type="expression" dxfId="6939" priority="547">
      <formula>$C24&lt;$E$3</formula>
    </cfRule>
    <cfRule type="cellIs" dxfId="6938" priority="548" operator="equal">
      <formula>0</formula>
    </cfRule>
    <cfRule type="expression" dxfId="6937" priority="549">
      <formula>$C24&gt;$E$3</formula>
    </cfRule>
  </conditionalFormatting>
  <conditionalFormatting sqref="H24">
    <cfRule type="expression" dxfId="6936" priority="541">
      <formula>$C24=$E$3</formula>
    </cfRule>
    <cfRule type="expression" dxfId="6935" priority="542">
      <formula>$C24&lt;$E$3</formula>
    </cfRule>
    <cfRule type="cellIs" dxfId="6934" priority="543" operator="equal">
      <formula>0</formula>
    </cfRule>
    <cfRule type="expression" dxfId="6933" priority="544">
      <formula>$C24&gt;$E$3</formula>
    </cfRule>
  </conditionalFormatting>
  <conditionalFormatting sqref="H24">
    <cfRule type="expression" dxfId="6932" priority="540">
      <formula>$C24&lt;$E$3</formula>
    </cfRule>
  </conditionalFormatting>
  <conditionalFormatting sqref="H24">
    <cfRule type="expression" dxfId="6931" priority="539">
      <formula>$E24=""</formula>
    </cfRule>
  </conditionalFormatting>
  <conditionalFormatting sqref="H24">
    <cfRule type="expression" dxfId="6930" priority="535">
      <formula>$C24=$E$3</formula>
    </cfRule>
    <cfRule type="expression" dxfId="6929" priority="536">
      <formula>$C24&lt;$E$3</formula>
    </cfRule>
    <cfRule type="cellIs" dxfId="6928" priority="537" operator="equal">
      <formula>0</formula>
    </cfRule>
    <cfRule type="expression" dxfId="6927" priority="538">
      <formula>$C24&gt;$E$3</formula>
    </cfRule>
  </conditionalFormatting>
  <conditionalFormatting sqref="H24">
    <cfRule type="expression" dxfId="6926" priority="534">
      <formula>$C24&lt;$E$3</formula>
    </cfRule>
  </conditionalFormatting>
  <conditionalFormatting sqref="H24">
    <cfRule type="expression" dxfId="6925" priority="533">
      <formula>$E24=""</formula>
    </cfRule>
  </conditionalFormatting>
  <conditionalFormatting sqref="H24">
    <cfRule type="expression" dxfId="6924" priority="532">
      <formula>$C24&lt;$E$3</formula>
    </cfRule>
  </conditionalFormatting>
  <conditionalFormatting sqref="H24">
    <cfRule type="expression" dxfId="6923" priority="528">
      <formula>$C24=$E$3</formula>
    </cfRule>
    <cfRule type="expression" dxfId="6922" priority="529">
      <formula>$C24&lt;$E$3</formula>
    </cfRule>
    <cfRule type="cellIs" dxfId="6921" priority="530" operator="equal">
      <formula>0</formula>
    </cfRule>
    <cfRule type="expression" dxfId="6920" priority="531">
      <formula>$C24&gt;$E$3</formula>
    </cfRule>
  </conditionalFormatting>
  <conditionalFormatting sqref="H24">
    <cfRule type="expression" dxfId="6919" priority="527">
      <formula>$E24=""</formula>
    </cfRule>
  </conditionalFormatting>
  <conditionalFormatting sqref="H24">
    <cfRule type="expression" dxfId="6918" priority="526">
      <formula>$C24&lt;$E$3</formula>
    </cfRule>
  </conditionalFormatting>
  <conditionalFormatting sqref="H24">
    <cfRule type="expression" dxfId="6917" priority="525">
      <formula>$E24=""</formula>
    </cfRule>
  </conditionalFormatting>
  <conditionalFormatting sqref="H24">
    <cfRule type="expression" dxfId="6916" priority="524">
      <formula>$E24=""</formula>
    </cfRule>
  </conditionalFormatting>
  <conditionalFormatting sqref="H24">
    <cfRule type="expression" dxfId="6915" priority="523">
      <formula>$C24&lt;$E$3</formula>
    </cfRule>
  </conditionalFormatting>
  <conditionalFormatting sqref="H24">
    <cfRule type="expression" dxfId="6914" priority="522">
      <formula>$E24=""</formula>
    </cfRule>
  </conditionalFormatting>
  <conditionalFormatting sqref="H24">
    <cfRule type="expression" dxfId="6913" priority="521">
      <formula>$C24&lt;$E$3</formula>
    </cfRule>
  </conditionalFormatting>
  <conditionalFormatting sqref="H24">
    <cfRule type="expression" dxfId="6912" priority="520">
      <formula>$E24=""</formula>
    </cfRule>
  </conditionalFormatting>
  <conditionalFormatting sqref="H24">
    <cfRule type="expression" dxfId="6911" priority="519">
      <formula>$C24&lt;$E$3</formula>
    </cfRule>
  </conditionalFormatting>
  <conditionalFormatting sqref="H24">
    <cfRule type="expression" dxfId="6910" priority="518">
      <formula>$E24=""</formula>
    </cfRule>
  </conditionalFormatting>
  <conditionalFormatting sqref="K24">
    <cfRule type="cellIs" dxfId="6909" priority="517" stopIfTrue="1" operator="lessThan">
      <formula>0</formula>
    </cfRule>
  </conditionalFormatting>
  <conditionalFormatting sqref="K24">
    <cfRule type="expression" dxfId="6908" priority="515">
      <formula>$C24&lt;$E$3</formula>
    </cfRule>
  </conditionalFormatting>
  <conditionalFormatting sqref="K24">
    <cfRule type="expression" dxfId="6907" priority="512">
      <formula>$C24=$E$3</formula>
    </cfRule>
    <cfRule type="expression" dxfId="6906" priority="513">
      <formula>$C24&lt;$E$3</formula>
    </cfRule>
    <cfRule type="cellIs" dxfId="6905" priority="514" operator="equal">
      <formula>0</formula>
    </cfRule>
    <cfRule type="expression" dxfId="6904" priority="516">
      <formula>$C24&gt;$E$3</formula>
    </cfRule>
  </conditionalFormatting>
  <conditionalFormatting sqref="K24">
    <cfRule type="expression" dxfId="6903" priority="511">
      <formula>$E24=""</formula>
    </cfRule>
  </conditionalFormatting>
  <conditionalFormatting sqref="K24">
    <cfRule type="expression" dxfId="6902" priority="510">
      <formula>$E24=""</formula>
    </cfRule>
  </conditionalFormatting>
  <conditionalFormatting sqref="K24">
    <cfRule type="expression" dxfId="6901" priority="509">
      <formula>$E24=""</formula>
    </cfRule>
  </conditionalFormatting>
  <conditionalFormatting sqref="K24">
    <cfRule type="expression" dxfId="6900" priority="499">
      <formula>$C24&lt;$E$3</formula>
    </cfRule>
  </conditionalFormatting>
  <conditionalFormatting sqref="K24">
    <cfRule type="expression" dxfId="6899" priority="495">
      <formula>$C24=$E$3</formula>
    </cfRule>
    <cfRule type="expression" dxfId="6898" priority="496">
      <formula>$C24&lt;$E$3</formula>
    </cfRule>
    <cfRule type="cellIs" dxfId="6897" priority="497" operator="equal">
      <formula>0</formula>
    </cfRule>
    <cfRule type="expression" dxfId="6896" priority="498">
      <formula>$C24&gt;$E$3</formula>
    </cfRule>
  </conditionalFormatting>
  <conditionalFormatting sqref="K24">
    <cfRule type="expression" dxfId="6895" priority="494">
      <formula>$C24&lt;$E$3</formula>
    </cfRule>
  </conditionalFormatting>
  <conditionalFormatting sqref="K24">
    <cfRule type="expression" dxfId="6894" priority="490">
      <formula>$C24=$E$3</formula>
    </cfRule>
    <cfRule type="expression" dxfId="6893" priority="491">
      <formula>$C24&lt;$E$3</formula>
    </cfRule>
    <cfRule type="cellIs" dxfId="6892" priority="492" operator="equal">
      <formula>0</formula>
    </cfRule>
    <cfRule type="expression" dxfId="6891" priority="493">
      <formula>$C24&gt;$E$3</formula>
    </cfRule>
  </conditionalFormatting>
  <conditionalFormatting sqref="K24">
    <cfRule type="expression" dxfId="6890" priority="489">
      <formula>$C24&lt;$E$3</formula>
    </cfRule>
  </conditionalFormatting>
  <conditionalFormatting sqref="K24">
    <cfRule type="expression" dxfId="6889" priority="485">
      <formula>$C24=$E$3</formula>
    </cfRule>
    <cfRule type="expression" dxfId="6888" priority="486">
      <formula>$C24&lt;$E$3</formula>
    </cfRule>
    <cfRule type="cellIs" dxfId="6887" priority="487" operator="equal">
      <formula>0</formula>
    </cfRule>
    <cfRule type="expression" dxfId="6886" priority="488">
      <formula>$C24&gt;$E$3</formula>
    </cfRule>
  </conditionalFormatting>
  <conditionalFormatting sqref="K24">
    <cfRule type="expression" dxfId="6885" priority="484">
      <formula>$C24&lt;$E$3</formula>
    </cfRule>
  </conditionalFormatting>
  <conditionalFormatting sqref="K24">
    <cfRule type="expression" dxfId="6884" priority="480">
      <formula>$C24=$E$3</formula>
    </cfRule>
    <cfRule type="expression" dxfId="6883" priority="481">
      <formula>$C24&lt;$E$3</formula>
    </cfRule>
    <cfRule type="cellIs" dxfId="6882" priority="482" operator="equal">
      <formula>0</formula>
    </cfRule>
    <cfRule type="expression" dxfId="6881" priority="483">
      <formula>$C24&gt;$E$3</formula>
    </cfRule>
  </conditionalFormatting>
  <conditionalFormatting sqref="K24">
    <cfRule type="expression" dxfId="6880" priority="479">
      <formula>$E24=""</formula>
    </cfRule>
  </conditionalFormatting>
  <conditionalFormatting sqref="K24">
    <cfRule type="expression" dxfId="6879" priority="478">
      <formula>$C24&lt;$E$3</formula>
    </cfRule>
  </conditionalFormatting>
  <conditionalFormatting sqref="K24">
    <cfRule type="expression" dxfId="6878" priority="477">
      <formula>$E24=""</formula>
    </cfRule>
  </conditionalFormatting>
  <conditionalFormatting sqref="K24">
    <cfRule type="expression" dxfId="6877" priority="476">
      <formula>$E24=""</formula>
    </cfRule>
  </conditionalFormatting>
  <conditionalFormatting sqref="K24">
    <cfRule type="expression" dxfId="6876" priority="475">
      <formula>$C24&lt;$E$3</formula>
    </cfRule>
  </conditionalFormatting>
  <conditionalFormatting sqref="K24">
    <cfRule type="expression" dxfId="6875" priority="474">
      <formula>$E24=""</formula>
    </cfRule>
  </conditionalFormatting>
  <conditionalFormatting sqref="K24">
    <cfRule type="expression" dxfId="6874" priority="473">
      <formula>$C24&lt;$E$3</formula>
    </cfRule>
  </conditionalFormatting>
  <conditionalFormatting sqref="K24">
    <cfRule type="expression" dxfId="6873" priority="472">
      <formula>$E24=""</formula>
    </cfRule>
  </conditionalFormatting>
  <conditionalFormatting sqref="K24">
    <cfRule type="expression" dxfId="6872" priority="471">
      <formula>$C24&lt;$E$3</formula>
    </cfRule>
  </conditionalFormatting>
  <conditionalFormatting sqref="K24">
    <cfRule type="expression" dxfId="6871" priority="470">
      <formula>$E24=""</formula>
    </cfRule>
  </conditionalFormatting>
  <conditionalFormatting sqref="K24">
    <cfRule type="expression" dxfId="6870" priority="469">
      <formula>$C24&lt;$E$3</formula>
    </cfRule>
  </conditionalFormatting>
  <conditionalFormatting sqref="K24">
    <cfRule type="expression" dxfId="6869" priority="465">
      <formula>$C24=$E$3</formula>
    </cfRule>
    <cfRule type="expression" dxfId="6868" priority="466">
      <formula>$C24&lt;$E$3</formula>
    </cfRule>
    <cfRule type="cellIs" dxfId="6867" priority="467" operator="equal">
      <formula>0</formula>
    </cfRule>
    <cfRule type="expression" dxfId="6866" priority="468">
      <formula>$C24&gt;$E$3</formula>
    </cfRule>
  </conditionalFormatting>
  <conditionalFormatting sqref="K24">
    <cfRule type="expression" dxfId="6865" priority="464">
      <formula>$C24&lt;$E$3</formula>
    </cfRule>
  </conditionalFormatting>
  <conditionalFormatting sqref="K24">
    <cfRule type="expression" dxfId="6864" priority="460">
      <formula>$C24=$E$3</formula>
    </cfRule>
    <cfRule type="expression" dxfId="6863" priority="461">
      <formula>$C24&lt;$E$3</formula>
    </cfRule>
    <cfRule type="cellIs" dxfId="6862" priority="462" operator="equal">
      <formula>0</formula>
    </cfRule>
    <cfRule type="expression" dxfId="6861" priority="463">
      <formula>$C24&gt;$E$3</formula>
    </cfRule>
  </conditionalFormatting>
  <conditionalFormatting sqref="K24">
    <cfRule type="expression" dxfId="6860" priority="459">
      <formula>$C24&lt;$E$3</formula>
    </cfRule>
  </conditionalFormatting>
  <conditionalFormatting sqref="K24">
    <cfRule type="expression" dxfId="6859" priority="455">
      <formula>$C24=$E$3</formula>
    </cfRule>
    <cfRule type="expression" dxfId="6858" priority="456">
      <formula>$C24&lt;$E$3</formula>
    </cfRule>
    <cfRule type="cellIs" dxfId="6857" priority="457" operator="equal">
      <formula>0</formula>
    </cfRule>
    <cfRule type="expression" dxfId="6856" priority="458">
      <formula>$C24&gt;$E$3</formula>
    </cfRule>
  </conditionalFormatting>
  <conditionalFormatting sqref="K24">
    <cfRule type="expression" dxfId="6855" priority="454">
      <formula>$C24&lt;$E$3</formula>
    </cfRule>
  </conditionalFormatting>
  <conditionalFormatting sqref="K24">
    <cfRule type="expression" dxfId="6854" priority="450">
      <formula>$C24=$E$3</formula>
    </cfRule>
    <cfRule type="expression" dxfId="6853" priority="451">
      <formula>$C24&lt;$E$3</formula>
    </cfRule>
    <cfRule type="cellIs" dxfId="6852" priority="452" operator="equal">
      <formula>0</formula>
    </cfRule>
    <cfRule type="expression" dxfId="6851" priority="453">
      <formula>$C24&gt;$E$3</formula>
    </cfRule>
  </conditionalFormatting>
  <conditionalFormatting sqref="K24">
    <cfRule type="expression" dxfId="6850" priority="449">
      <formula>$E24=""</formula>
    </cfRule>
  </conditionalFormatting>
  <conditionalFormatting sqref="K24">
    <cfRule type="expression" dxfId="6849" priority="448">
      <formula>$C24&lt;$E$3</formula>
    </cfRule>
  </conditionalFormatting>
  <conditionalFormatting sqref="K24">
    <cfRule type="expression" dxfId="6848" priority="447">
      <formula>$E24=""</formula>
    </cfRule>
  </conditionalFormatting>
  <conditionalFormatting sqref="K24">
    <cfRule type="expression" dxfId="6847" priority="446">
      <formula>$E24=""</formula>
    </cfRule>
  </conditionalFormatting>
  <conditionalFormatting sqref="K24">
    <cfRule type="expression" dxfId="6846" priority="445">
      <formula>$C24&lt;$E$3</formula>
    </cfRule>
  </conditionalFormatting>
  <conditionalFormatting sqref="K24">
    <cfRule type="expression" dxfId="6845" priority="444">
      <formula>$E24=""</formula>
    </cfRule>
  </conditionalFormatting>
  <conditionalFormatting sqref="K24">
    <cfRule type="expression" dxfId="6844" priority="443">
      <formula>$C24&lt;$E$3</formula>
    </cfRule>
  </conditionalFormatting>
  <conditionalFormatting sqref="K24">
    <cfRule type="expression" dxfId="6843" priority="442">
      <formula>$E24=""</formula>
    </cfRule>
  </conditionalFormatting>
  <conditionalFormatting sqref="K24">
    <cfRule type="expression" dxfId="6842" priority="441">
      <formula>$C24&lt;$E$3</formula>
    </cfRule>
  </conditionalFormatting>
  <conditionalFormatting sqref="K24">
    <cfRule type="expression" dxfId="6841" priority="440">
      <formula>$E24=""</formula>
    </cfRule>
  </conditionalFormatting>
  <conditionalFormatting sqref="K24">
    <cfRule type="expression" dxfId="6840" priority="438">
      <formula>$C24&lt;$E$3</formula>
    </cfRule>
  </conditionalFormatting>
  <conditionalFormatting sqref="K24">
    <cfRule type="expression" dxfId="6839" priority="435">
      <formula>$C24=$E$3</formula>
    </cfRule>
    <cfRule type="expression" dxfId="6838" priority="436">
      <formula>$C24&lt;$E$3</formula>
    </cfRule>
    <cfRule type="cellIs" dxfId="6837" priority="437" operator="equal">
      <formula>0</formula>
    </cfRule>
    <cfRule type="expression" dxfId="6836" priority="439">
      <formula>$C24&gt;$E$3</formula>
    </cfRule>
  </conditionalFormatting>
  <conditionalFormatting sqref="K24">
    <cfRule type="expression" dxfId="6835" priority="434">
      <formula>$E24=""</formula>
    </cfRule>
  </conditionalFormatting>
  <conditionalFormatting sqref="K24">
    <cfRule type="expression" dxfId="6834" priority="433">
      <formula>$E24=""</formula>
    </cfRule>
  </conditionalFormatting>
  <conditionalFormatting sqref="K24">
    <cfRule type="expression" dxfId="6833" priority="432">
      <formula>$E24=""</formula>
    </cfRule>
  </conditionalFormatting>
  <conditionalFormatting sqref="H26">
    <cfRule type="cellIs" dxfId="6832" priority="427" stopIfTrue="1" operator="lessThan">
      <formula>0</formula>
    </cfRule>
  </conditionalFormatting>
  <conditionalFormatting sqref="H26">
    <cfRule type="expression" dxfId="6831" priority="428">
      <formula>$C26=$E$3</formula>
    </cfRule>
    <cfRule type="expression" dxfId="6830" priority="429">
      <formula>$C26&lt;$E$3</formula>
    </cfRule>
    <cfRule type="cellIs" dxfId="6829" priority="430" operator="equal">
      <formula>0</formula>
    </cfRule>
    <cfRule type="expression" dxfId="6828" priority="431">
      <formula>$C26&gt;$E$3</formula>
    </cfRule>
  </conditionalFormatting>
  <conditionalFormatting sqref="H26">
    <cfRule type="expression" dxfId="6827" priority="423">
      <formula>$C26=$E$3</formula>
    </cfRule>
    <cfRule type="expression" dxfId="6826" priority="424">
      <formula>$C26&lt;$E$3</formula>
    </cfRule>
    <cfRule type="cellIs" dxfId="6825" priority="425" operator="equal">
      <formula>0</formula>
    </cfRule>
    <cfRule type="expression" dxfId="6824" priority="426">
      <formula>$C26&gt;$E$3</formula>
    </cfRule>
  </conditionalFormatting>
  <conditionalFormatting sqref="H26">
    <cfRule type="expression" dxfId="6823" priority="422">
      <formula>$C26&lt;$E$3</formula>
    </cfRule>
  </conditionalFormatting>
  <conditionalFormatting sqref="H26">
    <cfRule type="expression" dxfId="6822" priority="421">
      <formula>$E26=""</formula>
    </cfRule>
  </conditionalFormatting>
  <conditionalFormatting sqref="H26">
    <cfRule type="expression" dxfId="6821" priority="417">
      <formula>$C26=$E$3</formula>
    </cfRule>
    <cfRule type="expression" dxfId="6820" priority="418">
      <formula>$C26&lt;$E$3</formula>
    </cfRule>
    <cfRule type="cellIs" dxfId="6819" priority="419" operator="equal">
      <formula>0</formula>
    </cfRule>
    <cfRule type="expression" dxfId="6818" priority="420">
      <formula>$C26&gt;$E$3</formula>
    </cfRule>
  </conditionalFormatting>
  <conditionalFormatting sqref="H26">
    <cfRule type="expression" dxfId="6817" priority="416">
      <formula>$C26&lt;$E$3</formula>
    </cfRule>
  </conditionalFormatting>
  <conditionalFormatting sqref="H26">
    <cfRule type="expression" dxfId="6816" priority="415">
      <formula>$E26=""</formula>
    </cfRule>
  </conditionalFormatting>
  <conditionalFormatting sqref="H26">
    <cfRule type="expression" dxfId="6815" priority="414">
      <formula>$C26&lt;$E$3</formula>
    </cfRule>
  </conditionalFormatting>
  <conditionalFormatting sqref="H26">
    <cfRule type="expression" dxfId="6814" priority="410">
      <formula>$C26=$E$3</formula>
    </cfRule>
    <cfRule type="expression" dxfId="6813" priority="411">
      <formula>$C26&lt;$E$3</formula>
    </cfRule>
    <cfRule type="cellIs" dxfId="6812" priority="412" operator="equal">
      <formula>0</formula>
    </cfRule>
    <cfRule type="expression" dxfId="6811" priority="413">
      <formula>$C26&gt;$E$3</formula>
    </cfRule>
  </conditionalFormatting>
  <conditionalFormatting sqref="H26">
    <cfRule type="expression" dxfId="6810" priority="409">
      <formula>$E26=""</formula>
    </cfRule>
  </conditionalFormatting>
  <conditionalFormatting sqref="H26">
    <cfRule type="expression" dxfId="6809" priority="408">
      <formula>$C26&lt;$E$3</formula>
    </cfRule>
  </conditionalFormatting>
  <conditionalFormatting sqref="H26">
    <cfRule type="expression" dxfId="6808" priority="407">
      <formula>$E26=""</formula>
    </cfRule>
  </conditionalFormatting>
  <conditionalFormatting sqref="H26">
    <cfRule type="expression" dxfId="6807" priority="406">
      <formula>$E26=""</formula>
    </cfRule>
  </conditionalFormatting>
  <conditionalFormatting sqref="H26">
    <cfRule type="expression" dxfId="6806" priority="405">
      <formula>$C26&lt;$E$3</formula>
    </cfRule>
  </conditionalFormatting>
  <conditionalFormatting sqref="H26">
    <cfRule type="expression" dxfId="6805" priority="404">
      <formula>$E26=""</formula>
    </cfRule>
  </conditionalFormatting>
  <conditionalFormatting sqref="H26">
    <cfRule type="expression" dxfId="6804" priority="403">
      <formula>$C26&lt;$E$3</formula>
    </cfRule>
  </conditionalFormatting>
  <conditionalFormatting sqref="H26">
    <cfRule type="expression" dxfId="6803" priority="402">
      <formula>$E26=""</formula>
    </cfRule>
  </conditionalFormatting>
  <conditionalFormatting sqref="H26">
    <cfRule type="expression" dxfId="6802" priority="401">
      <formula>$C26&lt;$E$3</formula>
    </cfRule>
  </conditionalFormatting>
  <conditionalFormatting sqref="H26">
    <cfRule type="expression" dxfId="6801" priority="400">
      <formula>$E26=""</formula>
    </cfRule>
  </conditionalFormatting>
  <conditionalFormatting sqref="K26">
    <cfRule type="cellIs" dxfId="6800" priority="399" stopIfTrue="1" operator="lessThan">
      <formula>0</formula>
    </cfRule>
  </conditionalFormatting>
  <conditionalFormatting sqref="K26">
    <cfRule type="expression" dxfId="6799" priority="397">
      <formula>$C26&lt;$E$3</formula>
    </cfRule>
  </conditionalFormatting>
  <conditionalFormatting sqref="K26">
    <cfRule type="expression" dxfId="6798" priority="394">
      <formula>$C26=$E$3</formula>
    </cfRule>
    <cfRule type="expression" dxfId="6797" priority="395">
      <formula>$C26&lt;$E$3</formula>
    </cfRule>
    <cfRule type="cellIs" dxfId="6796" priority="396" operator="equal">
      <formula>0</formula>
    </cfRule>
    <cfRule type="expression" dxfId="6795" priority="398">
      <formula>$C26&gt;$E$3</formula>
    </cfRule>
  </conditionalFormatting>
  <conditionalFormatting sqref="K26">
    <cfRule type="expression" dxfId="6794" priority="393">
      <formula>$E26=""</formula>
    </cfRule>
  </conditionalFormatting>
  <conditionalFormatting sqref="K26">
    <cfRule type="expression" dxfId="6793" priority="392">
      <formula>$E26=""</formula>
    </cfRule>
  </conditionalFormatting>
  <conditionalFormatting sqref="K26">
    <cfRule type="expression" dxfId="6792" priority="391">
      <formula>$E26=""</formula>
    </cfRule>
  </conditionalFormatting>
  <conditionalFormatting sqref="K26">
    <cfRule type="expression" dxfId="6791" priority="381">
      <formula>$C26&lt;$E$3</formula>
    </cfRule>
  </conditionalFormatting>
  <conditionalFormatting sqref="K26">
    <cfRule type="expression" dxfId="6790" priority="377">
      <formula>$C26=$E$3</formula>
    </cfRule>
    <cfRule type="expression" dxfId="6789" priority="378">
      <formula>$C26&lt;$E$3</formula>
    </cfRule>
    <cfRule type="cellIs" dxfId="6788" priority="379" operator="equal">
      <formula>0</formula>
    </cfRule>
    <cfRule type="expression" dxfId="6787" priority="380">
      <formula>$C26&gt;$E$3</formula>
    </cfRule>
  </conditionalFormatting>
  <conditionalFormatting sqref="K26">
    <cfRule type="expression" dxfId="6786" priority="376">
      <formula>$C26&lt;$E$3</formula>
    </cfRule>
  </conditionalFormatting>
  <conditionalFormatting sqref="K26">
    <cfRule type="expression" dxfId="6785" priority="372">
      <formula>$C26=$E$3</formula>
    </cfRule>
    <cfRule type="expression" dxfId="6784" priority="373">
      <formula>$C26&lt;$E$3</formula>
    </cfRule>
    <cfRule type="cellIs" dxfId="6783" priority="374" operator="equal">
      <formula>0</formula>
    </cfRule>
    <cfRule type="expression" dxfId="6782" priority="375">
      <formula>$C26&gt;$E$3</formula>
    </cfRule>
  </conditionalFormatting>
  <conditionalFormatting sqref="K26">
    <cfRule type="expression" dxfId="6781" priority="371">
      <formula>$C26&lt;$E$3</formula>
    </cfRule>
  </conditionalFormatting>
  <conditionalFormatting sqref="K26">
    <cfRule type="expression" dxfId="6780" priority="367">
      <formula>$C26=$E$3</formula>
    </cfRule>
    <cfRule type="expression" dxfId="6779" priority="368">
      <formula>$C26&lt;$E$3</formula>
    </cfRule>
    <cfRule type="cellIs" dxfId="6778" priority="369" operator="equal">
      <formula>0</formula>
    </cfRule>
    <cfRule type="expression" dxfId="6777" priority="370">
      <formula>$C26&gt;$E$3</formula>
    </cfRule>
  </conditionalFormatting>
  <conditionalFormatting sqref="K26">
    <cfRule type="expression" dxfId="6776" priority="366">
      <formula>$C26&lt;$E$3</formula>
    </cfRule>
  </conditionalFormatting>
  <conditionalFormatting sqref="K26">
    <cfRule type="expression" dxfId="6775" priority="362">
      <formula>$C26=$E$3</formula>
    </cfRule>
    <cfRule type="expression" dxfId="6774" priority="363">
      <formula>$C26&lt;$E$3</formula>
    </cfRule>
    <cfRule type="cellIs" dxfId="6773" priority="364" operator="equal">
      <formula>0</formula>
    </cfRule>
    <cfRule type="expression" dxfId="6772" priority="365">
      <formula>$C26&gt;$E$3</formula>
    </cfRule>
  </conditionalFormatting>
  <conditionalFormatting sqref="K26">
    <cfRule type="expression" dxfId="6771" priority="361">
      <formula>$E26=""</formula>
    </cfRule>
  </conditionalFormatting>
  <conditionalFormatting sqref="K26">
    <cfRule type="expression" dxfId="6770" priority="360">
      <formula>$C26&lt;$E$3</formula>
    </cfRule>
  </conditionalFormatting>
  <conditionalFormatting sqref="K26">
    <cfRule type="expression" dxfId="6769" priority="359">
      <formula>$E26=""</formula>
    </cfRule>
  </conditionalFormatting>
  <conditionalFormatting sqref="K26">
    <cfRule type="expression" dxfId="6768" priority="358">
      <formula>$E26=""</formula>
    </cfRule>
  </conditionalFormatting>
  <conditionalFormatting sqref="K26">
    <cfRule type="expression" dxfId="6767" priority="357">
      <formula>$C26&lt;$E$3</formula>
    </cfRule>
  </conditionalFormatting>
  <conditionalFormatting sqref="K26">
    <cfRule type="expression" dxfId="6766" priority="356">
      <formula>$E26=""</formula>
    </cfRule>
  </conditionalFormatting>
  <conditionalFormatting sqref="K26">
    <cfRule type="expression" dxfId="6765" priority="355">
      <formula>$C26&lt;$E$3</formula>
    </cfRule>
  </conditionalFormatting>
  <conditionalFormatting sqref="K26">
    <cfRule type="expression" dxfId="6764" priority="354">
      <formula>$E26=""</formula>
    </cfRule>
  </conditionalFormatting>
  <conditionalFormatting sqref="K26">
    <cfRule type="expression" dxfId="6763" priority="353">
      <formula>$C26&lt;$E$3</formula>
    </cfRule>
  </conditionalFormatting>
  <conditionalFormatting sqref="K26">
    <cfRule type="expression" dxfId="6762" priority="352">
      <formula>$E26=""</formula>
    </cfRule>
  </conditionalFormatting>
  <conditionalFormatting sqref="K26">
    <cfRule type="expression" dxfId="6761" priority="351">
      <formula>$C26&lt;$E$3</formula>
    </cfRule>
  </conditionalFormatting>
  <conditionalFormatting sqref="K26">
    <cfRule type="expression" dxfId="6760" priority="347">
      <formula>$C26=$E$3</formula>
    </cfRule>
    <cfRule type="expression" dxfId="6759" priority="348">
      <formula>$C26&lt;$E$3</formula>
    </cfRule>
    <cfRule type="cellIs" dxfId="6758" priority="349" operator="equal">
      <formula>0</formula>
    </cfRule>
    <cfRule type="expression" dxfId="6757" priority="350">
      <formula>$C26&gt;$E$3</formula>
    </cfRule>
  </conditionalFormatting>
  <conditionalFormatting sqref="K26">
    <cfRule type="expression" dxfId="6756" priority="346">
      <formula>$C26&lt;$E$3</formula>
    </cfRule>
  </conditionalFormatting>
  <conditionalFormatting sqref="K26">
    <cfRule type="expression" dxfId="6755" priority="342">
      <formula>$C26=$E$3</formula>
    </cfRule>
    <cfRule type="expression" dxfId="6754" priority="343">
      <formula>$C26&lt;$E$3</formula>
    </cfRule>
    <cfRule type="cellIs" dxfId="6753" priority="344" operator="equal">
      <formula>0</formula>
    </cfRule>
    <cfRule type="expression" dxfId="6752" priority="345">
      <formula>$C26&gt;$E$3</formula>
    </cfRule>
  </conditionalFormatting>
  <conditionalFormatting sqref="K26">
    <cfRule type="expression" dxfId="6751" priority="341">
      <formula>$C26&lt;$E$3</formula>
    </cfRule>
  </conditionalFormatting>
  <conditionalFormatting sqref="K26">
    <cfRule type="expression" dxfId="6750" priority="337">
      <formula>$C26=$E$3</formula>
    </cfRule>
    <cfRule type="expression" dxfId="6749" priority="338">
      <formula>$C26&lt;$E$3</formula>
    </cfRule>
    <cfRule type="cellIs" dxfId="6748" priority="339" operator="equal">
      <formula>0</formula>
    </cfRule>
    <cfRule type="expression" dxfId="6747" priority="340">
      <formula>$C26&gt;$E$3</formula>
    </cfRule>
  </conditionalFormatting>
  <conditionalFormatting sqref="K26">
    <cfRule type="expression" dxfId="6746" priority="336">
      <formula>$C26&lt;$E$3</formula>
    </cfRule>
  </conditionalFormatting>
  <conditionalFormatting sqref="K26">
    <cfRule type="expression" dxfId="6745" priority="332">
      <formula>$C26=$E$3</formula>
    </cfRule>
    <cfRule type="expression" dxfId="6744" priority="333">
      <formula>$C26&lt;$E$3</formula>
    </cfRule>
    <cfRule type="cellIs" dxfId="6743" priority="334" operator="equal">
      <formula>0</formula>
    </cfRule>
    <cfRule type="expression" dxfId="6742" priority="335">
      <formula>$C26&gt;$E$3</formula>
    </cfRule>
  </conditionalFormatting>
  <conditionalFormatting sqref="K26">
    <cfRule type="expression" dxfId="6741" priority="331">
      <formula>$E26=""</formula>
    </cfRule>
  </conditionalFormatting>
  <conditionalFormatting sqref="K26">
    <cfRule type="expression" dxfId="6740" priority="330">
      <formula>$C26&lt;$E$3</formula>
    </cfRule>
  </conditionalFormatting>
  <conditionalFormatting sqref="K26">
    <cfRule type="expression" dxfId="6739" priority="329">
      <formula>$E26=""</formula>
    </cfRule>
  </conditionalFormatting>
  <conditionalFormatting sqref="K26">
    <cfRule type="expression" dxfId="6738" priority="328">
      <formula>$E26=""</formula>
    </cfRule>
  </conditionalFormatting>
  <conditionalFormatting sqref="K26">
    <cfRule type="expression" dxfId="6737" priority="327">
      <formula>$C26&lt;$E$3</formula>
    </cfRule>
  </conditionalFormatting>
  <conditionalFormatting sqref="K26">
    <cfRule type="expression" dxfId="6736" priority="326">
      <formula>$E26=""</formula>
    </cfRule>
  </conditionalFormatting>
  <conditionalFormatting sqref="K26">
    <cfRule type="expression" dxfId="6735" priority="325">
      <formula>$C26&lt;$E$3</formula>
    </cfRule>
  </conditionalFormatting>
  <conditionalFormatting sqref="K26">
    <cfRule type="expression" dxfId="6734" priority="324">
      <formula>$E26=""</formula>
    </cfRule>
  </conditionalFormatting>
  <conditionalFormatting sqref="K26">
    <cfRule type="expression" dxfId="6733" priority="323">
      <formula>$C26&lt;$E$3</formula>
    </cfRule>
  </conditionalFormatting>
  <conditionalFormatting sqref="K26">
    <cfRule type="expression" dxfId="6732" priority="322">
      <formula>$E26=""</formula>
    </cfRule>
  </conditionalFormatting>
  <conditionalFormatting sqref="K26">
    <cfRule type="expression" dxfId="6731" priority="320">
      <formula>$C26&lt;$E$3</formula>
    </cfRule>
  </conditionalFormatting>
  <conditionalFormatting sqref="K26">
    <cfRule type="expression" dxfId="6730" priority="317">
      <formula>$C26=$E$3</formula>
    </cfRule>
    <cfRule type="expression" dxfId="6729" priority="318">
      <formula>$C26&lt;$E$3</formula>
    </cfRule>
    <cfRule type="cellIs" dxfId="6728" priority="319" operator="equal">
      <formula>0</formula>
    </cfRule>
    <cfRule type="expression" dxfId="6727" priority="321">
      <formula>$C26&gt;$E$3</formula>
    </cfRule>
  </conditionalFormatting>
  <conditionalFormatting sqref="K26">
    <cfRule type="expression" dxfId="6726" priority="316">
      <formula>$E26=""</formula>
    </cfRule>
  </conditionalFormatting>
  <conditionalFormatting sqref="K26">
    <cfRule type="expression" dxfId="6725" priority="315">
      <formula>$E26=""</formula>
    </cfRule>
  </conditionalFormatting>
  <conditionalFormatting sqref="K26">
    <cfRule type="expression" dxfId="6724" priority="314">
      <formula>$E26=""</formula>
    </cfRule>
  </conditionalFormatting>
  <conditionalFormatting sqref="H28">
    <cfRule type="cellIs" dxfId="6723" priority="309" stopIfTrue="1" operator="lessThan">
      <formula>0</formula>
    </cfRule>
  </conditionalFormatting>
  <conditionalFormatting sqref="H28">
    <cfRule type="expression" dxfId="6722" priority="310">
      <formula>$C28=$E$3</formula>
    </cfRule>
    <cfRule type="expression" dxfId="6721" priority="311">
      <formula>$C28&lt;$E$3</formula>
    </cfRule>
    <cfRule type="cellIs" dxfId="6720" priority="312" operator="equal">
      <formula>0</formula>
    </cfRule>
    <cfRule type="expression" dxfId="6719" priority="313">
      <formula>$C28&gt;$E$3</formula>
    </cfRule>
  </conditionalFormatting>
  <conditionalFormatting sqref="H28">
    <cfRule type="expression" dxfId="6718" priority="305">
      <formula>$C28=$E$3</formula>
    </cfRule>
    <cfRule type="expression" dxfId="6717" priority="306">
      <formula>$C28&lt;$E$3</formula>
    </cfRule>
    <cfRule type="cellIs" dxfId="6716" priority="307" operator="equal">
      <formula>0</formula>
    </cfRule>
    <cfRule type="expression" dxfId="6715" priority="308">
      <formula>$C28&gt;$E$3</formula>
    </cfRule>
  </conditionalFormatting>
  <conditionalFormatting sqref="H28">
    <cfRule type="expression" dxfId="6714" priority="304">
      <formula>$C28&lt;$E$3</formula>
    </cfRule>
  </conditionalFormatting>
  <conditionalFormatting sqref="H28">
    <cfRule type="expression" dxfId="6713" priority="303">
      <formula>$E28=""</formula>
    </cfRule>
  </conditionalFormatting>
  <conditionalFormatting sqref="H28">
    <cfRule type="expression" dxfId="6712" priority="299">
      <formula>$C28=$E$3</formula>
    </cfRule>
    <cfRule type="expression" dxfId="6711" priority="300">
      <formula>$C28&lt;$E$3</formula>
    </cfRule>
    <cfRule type="cellIs" dxfId="6710" priority="301" operator="equal">
      <formula>0</formula>
    </cfRule>
    <cfRule type="expression" dxfId="6709" priority="302">
      <formula>$C28&gt;$E$3</formula>
    </cfRule>
  </conditionalFormatting>
  <conditionalFormatting sqref="H28">
    <cfRule type="expression" dxfId="6708" priority="298">
      <formula>$C28&lt;$E$3</formula>
    </cfRule>
  </conditionalFormatting>
  <conditionalFormatting sqref="H28">
    <cfRule type="expression" dxfId="6707" priority="297">
      <formula>$E28=""</formula>
    </cfRule>
  </conditionalFormatting>
  <conditionalFormatting sqref="H28">
    <cfRule type="expression" dxfId="6706" priority="296">
      <formula>$C28&lt;$E$3</formula>
    </cfRule>
  </conditionalFormatting>
  <conditionalFormatting sqref="H28">
    <cfRule type="expression" dxfId="6705" priority="292">
      <formula>$C28=$E$3</formula>
    </cfRule>
    <cfRule type="expression" dxfId="6704" priority="293">
      <formula>$C28&lt;$E$3</formula>
    </cfRule>
    <cfRule type="cellIs" dxfId="6703" priority="294" operator="equal">
      <formula>0</formula>
    </cfRule>
    <cfRule type="expression" dxfId="6702" priority="295">
      <formula>$C28&gt;$E$3</formula>
    </cfRule>
  </conditionalFormatting>
  <conditionalFormatting sqref="H28">
    <cfRule type="expression" dxfId="6701" priority="291">
      <formula>$E28=""</formula>
    </cfRule>
  </conditionalFormatting>
  <conditionalFormatting sqref="H28">
    <cfRule type="expression" dxfId="6700" priority="290">
      <formula>$C28&lt;$E$3</formula>
    </cfRule>
  </conditionalFormatting>
  <conditionalFormatting sqref="H28">
    <cfRule type="expression" dxfId="6699" priority="289">
      <formula>$E28=""</formula>
    </cfRule>
  </conditionalFormatting>
  <conditionalFormatting sqref="H28">
    <cfRule type="expression" dxfId="6698" priority="288">
      <formula>$E28=""</formula>
    </cfRule>
  </conditionalFormatting>
  <conditionalFormatting sqref="H28">
    <cfRule type="expression" dxfId="6697" priority="287">
      <formula>$C28&lt;$E$3</formula>
    </cfRule>
  </conditionalFormatting>
  <conditionalFormatting sqref="H28">
    <cfRule type="expression" dxfId="6696" priority="286">
      <formula>$E28=""</formula>
    </cfRule>
  </conditionalFormatting>
  <conditionalFormatting sqref="H28">
    <cfRule type="expression" dxfId="6695" priority="285">
      <formula>$C28&lt;$E$3</formula>
    </cfRule>
  </conditionalFormatting>
  <conditionalFormatting sqref="H28">
    <cfRule type="expression" dxfId="6694" priority="284">
      <formula>$E28=""</formula>
    </cfRule>
  </conditionalFormatting>
  <conditionalFormatting sqref="H28">
    <cfRule type="expression" dxfId="6693" priority="283">
      <formula>$C28&lt;$E$3</formula>
    </cfRule>
  </conditionalFormatting>
  <conditionalFormatting sqref="H28">
    <cfRule type="expression" dxfId="6692" priority="282">
      <formula>$E28=""</formula>
    </cfRule>
  </conditionalFormatting>
  <conditionalFormatting sqref="K28">
    <cfRule type="cellIs" dxfId="6691" priority="281" stopIfTrue="1" operator="lessThan">
      <formula>0</formula>
    </cfRule>
  </conditionalFormatting>
  <conditionalFormatting sqref="K28">
    <cfRule type="expression" dxfId="6690" priority="279">
      <formula>$C28&lt;$E$3</formula>
    </cfRule>
  </conditionalFormatting>
  <conditionalFormatting sqref="K28">
    <cfRule type="expression" dxfId="6689" priority="276">
      <formula>$C28=$E$3</formula>
    </cfRule>
    <cfRule type="expression" dxfId="6688" priority="277">
      <formula>$C28&lt;$E$3</formula>
    </cfRule>
    <cfRule type="cellIs" dxfId="6687" priority="278" operator="equal">
      <formula>0</formula>
    </cfRule>
    <cfRule type="expression" dxfId="6686" priority="280">
      <formula>$C28&gt;$E$3</formula>
    </cfRule>
  </conditionalFormatting>
  <conditionalFormatting sqref="K28">
    <cfRule type="expression" dxfId="6685" priority="275">
      <formula>$E28=""</formula>
    </cfRule>
  </conditionalFormatting>
  <conditionalFormatting sqref="K28">
    <cfRule type="expression" dxfId="6684" priority="274">
      <formula>$E28=""</formula>
    </cfRule>
  </conditionalFormatting>
  <conditionalFormatting sqref="K28">
    <cfRule type="expression" dxfId="6683" priority="273">
      <formula>$E28=""</formula>
    </cfRule>
  </conditionalFormatting>
  <conditionalFormatting sqref="L28">
    <cfRule type="cellIs" dxfId="6682" priority="272" stopIfTrue="1" operator="lessThan">
      <formula>0</formula>
    </cfRule>
  </conditionalFormatting>
  <conditionalFormatting sqref="L28">
    <cfRule type="expression" dxfId="6681" priority="270">
      <formula>$C28&lt;$E$3</formula>
    </cfRule>
  </conditionalFormatting>
  <conditionalFormatting sqref="L28">
    <cfRule type="expression" dxfId="6680" priority="267">
      <formula>$C28=$E$3</formula>
    </cfRule>
    <cfRule type="expression" dxfId="6679" priority="268">
      <formula>$C28&lt;$E$3</formula>
    </cfRule>
    <cfRule type="cellIs" dxfId="6678" priority="269" operator="equal">
      <formula>0</formula>
    </cfRule>
    <cfRule type="expression" dxfId="6677" priority="271">
      <formula>$C28&gt;$E$3</formula>
    </cfRule>
  </conditionalFormatting>
  <conditionalFormatting sqref="L28">
    <cfRule type="expression" dxfId="6676" priority="266">
      <formula>$E28=""</formula>
    </cfRule>
  </conditionalFormatting>
  <conditionalFormatting sqref="L28">
    <cfRule type="expression" dxfId="6675" priority="265">
      <formula>$E28=""</formula>
    </cfRule>
  </conditionalFormatting>
  <conditionalFormatting sqref="L28">
    <cfRule type="expression" dxfId="6674" priority="264">
      <formula>$E28=""</formula>
    </cfRule>
  </conditionalFormatting>
  <conditionalFormatting sqref="K28">
    <cfRule type="expression" dxfId="6673" priority="263">
      <formula>$C28&lt;$E$3</formula>
    </cfRule>
  </conditionalFormatting>
  <conditionalFormatting sqref="K28">
    <cfRule type="expression" dxfId="6672" priority="259">
      <formula>$C28=$E$3</formula>
    </cfRule>
    <cfRule type="expression" dxfId="6671" priority="260">
      <formula>$C28&lt;$E$3</formula>
    </cfRule>
    <cfRule type="cellIs" dxfId="6670" priority="261" operator="equal">
      <formula>0</formula>
    </cfRule>
    <cfRule type="expression" dxfId="6669" priority="262">
      <formula>$C28&gt;$E$3</formula>
    </cfRule>
  </conditionalFormatting>
  <conditionalFormatting sqref="K28">
    <cfRule type="expression" dxfId="6668" priority="258">
      <formula>$C28&lt;$E$3</formula>
    </cfRule>
  </conditionalFormatting>
  <conditionalFormatting sqref="K28">
    <cfRule type="expression" dxfId="6667" priority="254">
      <formula>$C28=$E$3</formula>
    </cfRule>
    <cfRule type="expression" dxfId="6666" priority="255">
      <formula>$C28&lt;$E$3</formula>
    </cfRule>
    <cfRule type="cellIs" dxfId="6665" priority="256" operator="equal">
      <formula>0</formula>
    </cfRule>
    <cfRule type="expression" dxfId="6664" priority="257">
      <formula>$C28&gt;$E$3</formula>
    </cfRule>
  </conditionalFormatting>
  <conditionalFormatting sqref="K28">
    <cfRule type="expression" dxfId="6663" priority="253">
      <formula>$C28&lt;$E$3</formula>
    </cfRule>
  </conditionalFormatting>
  <conditionalFormatting sqref="K28">
    <cfRule type="expression" dxfId="6662" priority="249">
      <formula>$C28=$E$3</formula>
    </cfRule>
    <cfRule type="expression" dxfId="6661" priority="250">
      <formula>$C28&lt;$E$3</formula>
    </cfRule>
    <cfRule type="cellIs" dxfId="6660" priority="251" operator="equal">
      <formula>0</formula>
    </cfRule>
    <cfRule type="expression" dxfId="6659" priority="252">
      <formula>$C28&gt;$E$3</formula>
    </cfRule>
  </conditionalFormatting>
  <conditionalFormatting sqref="K28">
    <cfRule type="expression" dxfId="6658" priority="248">
      <formula>$C28&lt;$E$3</formula>
    </cfRule>
  </conditionalFormatting>
  <conditionalFormatting sqref="K28">
    <cfRule type="expression" dxfId="6657" priority="244">
      <formula>$C28=$E$3</formula>
    </cfRule>
    <cfRule type="expression" dxfId="6656" priority="245">
      <formula>$C28&lt;$E$3</formula>
    </cfRule>
    <cfRule type="cellIs" dxfId="6655" priority="246" operator="equal">
      <formula>0</formula>
    </cfRule>
    <cfRule type="expression" dxfId="6654" priority="247">
      <formula>$C28&gt;$E$3</formula>
    </cfRule>
  </conditionalFormatting>
  <conditionalFormatting sqref="K28">
    <cfRule type="expression" dxfId="6653" priority="243">
      <formula>$E28=""</formula>
    </cfRule>
  </conditionalFormatting>
  <conditionalFormatting sqref="K28">
    <cfRule type="expression" dxfId="6652" priority="242">
      <formula>$C28&lt;$E$3</formula>
    </cfRule>
  </conditionalFormatting>
  <conditionalFormatting sqref="K28">
    <cfRule type="expression" dxfId="6651" priority="241">
      <formula>$E28=""</formula>
    </cfRule>
  </conditionalFormatting>
  <conditionalFormatting sqref="K28">
    <cfRule type="expression" dxfId="6650" priority="240">
      <formula>$E28=""</formula>
    </cfRule>
  </conditionalFormatting>
  <conditionalFormatting sqref="K28">
    <cfRule type="expression" dxfId="6649" priority="239">
      <formula>$C28&lt;$E$3</formula>
    </cfRule>
  </conditionalFormatting>
  <conditionalFormatting sqref="K28">
    <cfRule type="expression" dxfId="6648" priority="238">
      <formula>$E28=""</formula>
    </cfRule>
  </conditionalFormatting>
  <conditionalFormatting sqref="K28">
    <cfRule type="expression" dxfId="6647" priority="237">
      <formula>$C28&lt;$E$3</formula>
    </cfRule>
  </conditionalFormatting>
  <conditionalFormatting sqref="K28">
    <cfRule type="expression" dxfId="6646" priority="236">
      <formula>$E28=""</formula>
    </cfRule>
  </conditionalFormatting>
  <conditionalFormatting sqref="K28">
    <cfRule type="expression" dxfId="6645" priority="235">
      <formula>$C28&lt;$E$3</formula>
    </cfRule>
  </conditionalFormatting>
  <conditionalFormatting sqref="K28">
    <cfRule type="expression" dxfId="6644" priority="234">
      <formula>$E28=""</formula>
    </cfRule>
  </conditionalFormatting>
  <conditionalFormatting sqref="K28">
    <cfRule type="expression" dxfId="6643" priority="233">
      <formula>$C28&lt;$E$3</formula>
    </cfRule>
  </conditionalFormatting>
  <conditionalFormatting sqref="K28">
    <cfRule type="expression" dxfId="6642" priority="229">
      <formula>$C28=$E$3</formula>
    </cfRule>
    <cfRule type="expression" dxfId="6641" priority="230">
      <formula>$C28&lt;$E$3</formula>
    </cfRule>
    <cfRule type="cellIs" dxfId="6640" priority="231" operator="equal">
      <formula>0</formula>
    </cfRule>
    <cfRule type="expression" dxfId="6639" priority="232">
      <formula>$C28&gt;$E$3</formula>
    </cfRule>
  </conditionalFormatting>
  <conditionalFormatting sqref="K28">
    <cfRule type="expression" dxfId="6638" priority="228">
      <formula>$C28&lt;$E$3</formula>
    </cfRule>
  </conditionalFormatting>
  <conditionalFormatting sqref="K28">
    <cfRule type="expression" dxfId="6637" priority="224">
      <formula>$C28=$E$3</formula>
    </cfRule>
    <cfRule type="expression" dxfId="6636" priority="225">
      <formula>$C28&lt;$E$3</formula>
    </cfRule>
    <cfRule type="cellIs" dxfId="6635" priority="226" operator="equal">
      <formula>0</formula>
    </cfRule>
    <cfRule type="expression" dxfId="6634" priority="227">
      <formula>$C28&gt;$E$3</formula>
    </cfRule>
  </conditionalFormatting>
  <conditionalFormatting sqref="K28">
    <cfRule type="expression" dxfId="6633" priority="223">
      <formula>$C28&lt;$E$3</formula>
    </cfRule>
  </conditionalFormatting>
  <conditionalFormatting sqref="K28">
    <cfRule type="expression" dxfId="6632" priority="219">
      <formula>$C28=$E$3</formula>
    </cfRule>
    <cfRule type="expression" dxfId="6631" priority="220">
      <formula>$C28&lt;$E$3</formula>
    </cfRule>
    <cfRule type="cellIs" dxfId="6630" priority="221" operator="equal">
      <formula>0</formula>
    </cfRule>
    <cfRule type="expression" dxfId="6629" priority="222">
      <formula>$C28&gt;$E$3</formula>
    </cfRule>
  </conditionalFormatting>
  <conditionalFormatting sqref="K28">
    <cfRule type="expression" dxfId="6628" priority="218">
      <formula>$C28&lt;$E$3</formula>
    </cfRule>
  </conditionalFormatting>
  <conditionalFormatting sqref="K28">
    <cfRule type="expression" dxfId="6627" priority="214">
      <formula>$C28=$E$3</formula>
    </cfRule>
    <cfRule type="expression" dxfId="6626" priority="215">
      <formula>$C28&lt;$E$3</formula>
    </cfRule>
    <cfRule type="cellIs" dxfId="6625" priority="216" operator="equal">
      <formula>0</formula>
    </cfRule>
    <cfRule type="expression" dxfId="6624" priority="217">
      <formula>$C28&gt;$E$3</formula>
    </cfRule>
  </conditionalFormatting>
  <conditionalFormatting sqref="K28">
    <cfRule type="expression" dxfId="6623" priority="213">
      <formula>$E28=""</formula>
    </cfRule>
  </conditionalFormatting>
  <conditionalFormatting sqref="K28">
    <cfRule type="expression" dxfId="6622" priority="212">
      <formula>$C28&lt;$E$3</formula>
    </cfRule>
  </conditionalFormatting>
  <conditionalFormatting sqref="K28">
    <cfRule type="expression" dxfId="6621" priority="211">
      <formula>$E28=""</formula>
    </cfRule>
  </conditionalFormatting>
  <conditionalFormatting sqref="K28">
    <cfRule type="expression" dxfId="6620" priority="210">
      <formula>$E28=""</formula>
    </cfRule>
  </conditionalFormatting>
  <conditionalFormatting sqref="K28">
    <cfRule type="expression" dxfId="6619" priority="209">
      <formula>$C28&lt;$E$3</formula>
    </cfRule>
  </conditionalFormatting>
  <conditionalFormatting sqref="K28">
    <cfRule type="expression" dxfId="6618" priority="208">
      <formula>$E28=""</formula>
    </cfRule>
  </conditionalFormatting>
  <conditionalFormatting sqref="K28">
    <cfRule type="expression" dxfId="6617" priority="207">
      <formula>$C28&lt;$E$3</formula>
    </cfRule>
  </conditionalFormatting>
  <conditionalFormatting sqref="K28">
    <cfRule type="expression" dxfId="6616" priority="206">
      <formula>$E28=""</formula>
    </cfRule>
  </conditionalFormatting>
  <conditionalFormatting sqref="K28">
    <cfRule type="expression" dxfId="6615" priority="205">
      <formula>$C28&lt;$E$3</formula>
    </cfRule>
  </conditionalFormatting>
  <conditionalFormatting sqref="K28">
    <cfRule type="expression" dxfId="6614" priority="204">
      <formula>$E28=""</formula>
    </cfRule>
  </conditionalFormatting>
  <conditionalFormatting sqref="K28">
    <cfRule type="expression" dxfId="6613" priority="202">
      <formula>$C28&lt;$E$3</formula>
    </cfRule>
  </conditionalFormatting>
  <conditionalFormatting sqref="K28">
    <cfRule type="expression" dxfId="6612" priority="199">
      <formula>$C28=$E$3</formula>
    </cfRule>
    <cfRule type="expression" dxfId="6611" priority="200">
      <formula>$C28&lt;$E$3</formula>
    </cfRule>
    <cfRule type="cellIs" dxfId="6610" priority="201" operator="equal">
      <formula>0</formula>
    </cfRule>
    <cfRule type="expression" dxfId="6609" priority="203">
      <formula>$C28&gt;$E$3</formula>
    </cfRule>
  </conditionalFormatting>
  <conditionalFormatting sqref="K28">
    <cfRule type="expression" dxfId="6608" priority="198">
      <formula>$E28=""</formula>
    </cfRule>
  </conditionalFormatting>
  <conditionalFormatting sqref="K28">
    <cfRule type="expression" dxfId="6607" priority="197">
      <formula>$E28=""</formula>
    </cfRule>
  </conditionalFormatting>
  <conditionalFormatting sqref="K28">
    <cfRule type="expression" dxfId="6606" priority="196">
      <formula>$E28=""</formula>
    </cfRule>
  </conditionalFormatting>
  <conditionalFormatting sqref="H32">
    <cfRule type="cellIs" dxfId="6605" priority="195" stopIfTrue="1" operator="lessThan">
      <formula>0</formula>
    </cfRule>
  </conditionalFormatting>
  <conditionalFormatting sqref="H32">
    <cfRule type="expression" dxfId="6604" priority="193">
      <formula>$C32&lt;$E$3</formula>
    </cfRule>
  </conditionalFormatting>
  <conditionalFormatting sqref="H32">
    <cfRule type="expression" dxfId="6603" priority="190">
      <formula>$C32=$E$3</formula>
    </cfRule>
    <cfRule type="expression" dxfId="6602" priority="191">
      <formula>$C32&lt;$E$3</formula>
    </cfRule>
    <cfRule type="cellIs" dxfId="6601" priority="192" operator="equal">
      <formula>0</formula>
    </cfRule>
    <cfRule type="expression" dxfId="6600" priority="194">
      <formula>$C32&gt;$E$3</formula>
    </cfRule>
  </conditionalFormatting>
  <conditionalFormatting sqref="H32">
    <cfRule type="expression" dxfId="6599" priority="189">
      <formula>$C32&lt;$E$3</formula>
    </cfRule>
  </conditionalFormatting>
  <conditionalFormatting sqref="H32">
    <cfRule type="expression" dxfId="6598" priority="185">
      <formula>$C32=$E$3</formula>
    </cfRule>
    <cfRule type="expression" dxfId="6597" priority="186">
      <formula>$C32&lt;$E$3</formula>
    </cfRule>
    <cfRule type="cellIs" dxfId="6596" priority="187" operator="equal">
      <formula>0</formula>
    </cfRule>
    <cfRule type="expression" dxfId="6595" priority="188">
      <formula>$C32&gt;$E$3</formula>
    </cfRule>
  </conditionalFormatting>
  <conditionalFormatting sqref="H32">
    <cfRule type="expression" dxfId="6594" priority="184">
      <formula>$C32&lt;$E$3</formula>
    </cfRule>
  </conditionalFormatting>
  <conditionalFormatting sqref="H32">
    <cfRule type="expression" dxfId="6593" priority="180">
      <formula>$C32=$E$3</formula>
    </cfRule>
    <cfRule type="expression" dxfId="6592" priority="181">
      <formula>$C32&lt;$E$3</formula>
    </cfRule>
    <cfRule type="cellIs" dxfId="6591" priority="182" operator="equal">
      <formula>0</formula>
    </cfRule>
    <cfRule type="expression" dxfId="6590" priority="183">
      <formula>$C32&gt;$E$3</formula>
    </cfRule>
  </conditionalFormatting>
  <conditionalFormatting sqref="H32">
    <cfRule type="expression" dxfId="6589" priority="179">
      <formula>$C32&lt;$E$3</formula>
    </cfRule>
  </conditionalFormatting>
  <conditionalFormatting sqref="H32">
    <cfRule type="expression" dxfId="6588" priority="175">
      <formula>$C32=$E$3</formula>
    </cfRule>
    <cfRule type="expression" dxfId="6587" priority="176">
      <formula>$C32&lt;$E$3</formula>
    </cfRule>
    <cfRule type="cellIs" dxfId="6586" priority="177" operator="equal">
      <formula>0</formula>
    </cfRule>
    <cfRule type="expression" dxfId="6585" priority="178">
      <formula>$C32&gt;$E$3</formula>
    </cfRule>
  </conditionalFormatting>
  <conditionalFormatting sqref="H32">
    <cfRule type="expression" dxfId="6584" priority="174">
      <formula>$E32=""</formula>
    </cfRule>
  </conditionalFormatting>
  <conditionalFormatting sqref="H32">
    <cfRule type="expression" dxfId="6583" priority="173">
      <formula>$C32&lt;$E$3</formula>
    </cfRule>
  </conditionalFormatting>
  <conditionalFormatting sqref="H32">
    <cfRule type="expression" dxfId="6582" priority="172">
      <formula>$E32=""</formula>
    </cfRule>
  </conditionalFormatting>
  <conditionalFormatting sqref="H32">
    <cfRule type="expression" dxfId="6581" priority="171">
      <formula>$E32=""</formula>
    </cfRule>
  </conditionalFormatting>
  <conditionalFormatting sqref="H32">
    <cfRule type="expression" dxfId="6580" priority="170">
      <formula>$C32&lt;$E$3</formula>
    </cfRule>
  </conditionalFormatting>
  <conditionalFormatting sqref="H32">
    <cfRule type="expression" dxfId="6579" priority="169">
      <formula>$E32=""</formula>
    </cfRule>
  </conditionalFormatting>
  <conditionalFormatting sqref="H32">
    <cfRule type="expression" dxfId="6578" priority="168">
      <formula>$C32&lt;$E$3</formula>
    </cfRule>
  </conditionalFormatting>
  <conditionalFormatting sqref="H32">
    <cfRule type="expression" dxfId="6577" priority="167">
      <formula>$E32=""</formula>
    </cfRule>
  </conditionalFormatting>
  <conditionalFormatting sqref="H32">
    <cfRule type="expression" dxfId="6576" priority="166">
      <formula>$C32&lt;$E$3</formula>
    </cfRule>
  </conditionalFormatting>
  <conditionalFormatting sqref="H32">
    <cfRule type="expression" dxfId="6575" priority="165">
      <formula>$E32=""</formula>
    </cfRule>
  </conditionalFormatting>
  <conditionalFormatting sqref="K32">
    <cfRule type="cellIs" dxfId="6574" priority="164" stopIfTrue="1" operator="lessThan">
      <formula>0</formula>
    </cfRule>
  </conditionalFormatting>
  <conditionalFormatting sqref="K32">
    <cfRule type="expression" dxfId="6573" priority="162">
      <formula>$C32&lt;$E$3</formula>
    </cfRule>
  </conditionalFormatting>
  <conditionalFormatting sqref="K32">
    <cfRule type="expression" dxfId="6572" priority="159">
      <formula>$C32=$E$3</formula>
    </cfRule>
    <cfRule type="expression" dxfId="6571" priority="160">
      <formula>$C32&lt;$E$3</formula>
    </cfRule>
    <cfRule type="cellIs" dxfId="6570" priority="161" operator="equal">
      <formula>0</formula>
    </cfRule>
    <cfRule type="expression" dxfId="6569" priority="163">
      <formula>$C32&gt;$E$3</formula>
    </cfRule>
  </conditionalFormatting>
  <conditionalFormatting sqref="K32">
    <cfRule type="expression" dxfId="6568" priority="158">
      <formula>$E32=""</formula>
    </cfRule>
  </conditionalFormatting>
  <conditionalFormatting sqref="K32">
    <cfRule type="expression" dxfId="6567" priority="157">
      <formula>$E32=""</formula>
    </cfRule>
  </conditionalFormatting>
  <conditionalFormatting sqref="K32">
    <cfRule type="expression" dxfId="6566" priority="156">
      <formula>$E32=""</formula>
    </cfRule>
  </conditionalFormatting>
  <conditionalFormatting sqref="L32">
    <cfRule type="cellIs" dxfId="6565" priority="155" stopIfTrue="1" operator="lessThan">
      <formula>0</formula>
    </cfRule>
  </conditionalFormatting>
  <conditionalFormatting sqref="L32">
    <cfRule type="expression" dxfId="6564" priority="153">
      <formula>$C32&lt;$E$3</formula>
    </cfRule>
  </conditionalFormatting>
  <conditionalFormatting sqref="L32">
    <cfRule type="expression" dxfId="6563" priority="150">
      <formula>$C32=$E$3</formula>
    </cfRule>
    <cfRule type="expression" dxfId="6562" priority="151">
      <formula>$C32&lt;$E$3</formula>
    </cfRule>
    <cfRule type="cellIs" dxfId="6561" priority="152" operator="equal">
      <formula>0</formula>
    </cfRule>
    <cfRule type="expression" dxfId="6560" priority="154">
      <formula>$C32&gt;$E$3</formula>
    </cfRule>
  </conditionalFormatting>
  <conditionalFormatting sqref="L32">
    <cfRule type="expression" dxfId="6559" priority="149">
      <formula>$E32=""</formula>
    </cfRule>
  </conditionalFormatting>
  <conditionalFormatting sqref="L32">
    <cfRule type="expression" dxfId="6558" priority="148">
      <formula>$E32=""</formula>
    </cfRule>
  </conditionalFormatting>
  <conditionalFormatting sqref="L32">
    <cfRule type="expression" dxfId="6557" priority="147">
      <formula>$E32=""</formula>
    </cfRule>
  </conditionalFormatting>
  <conditionalFormatting sqref="K32">
    <cfRule type="expression" dxfId="6556" priority="145">
      <formula>$C32&lt;$E$3</formula>
    </cfRule>
  </conditionalFormatting>
  <conditionalFormatting sqref="K32">
    <cfRule type="expression" dxfId="6555" priority="142">
      <formula>$C32=$E$3</formula>
    </cfRule>
    <cfRule type="expression" dxfId="6554" priority="143">
      <formula>$C32&lt;$E$3</formula>
    </cfRule>
    <cfRule type="cellIs" dxfId="6553" priority="144" operator="equal">
      <formula>0</formula>
    </cfRule>
    <cfRule type="expression" dxfId="6552" priority="146">
      <formula>$C32&gt;$E$3</formula>
    </cfRule>
  </conditionalFormatting>
  <conditionalFormatting sqref="K32">
    <cfRule type="expression" dxfId="6551" priority="141">
      <formula>$E32=""</formula>
    </cfRule>
  </conditionalFormatting>
  <conditionalFormatting sqref="K32">
    <cfRule type="expression" dxfId="6550" priority="140">
      <formula>$E32=""</formula>
    </cfRule>
  </conditionalFormatting>
  <conditionalFormatting sqref="K32">
    <cfRule type="expression" dxfId="6549" priority="139">
      <formula>$E32=""</formula>
    </cfRule>
  </conditionalFormatting>
  <conditionalFormatting sqref="H34">
    <cfRule type="cellIs" dxfId="6548" priority="138" stopIfTrue="1" operator="lessThan">
      <formula>0</formula>
    </cfRule>
  </conditionalFormatting>
  <conditionalFormatting sqref="H34">
    <cfRule type="expression" dxfId="6547" priority="136">
      <formula>$C34&lt;$E$3</formula>
    </cfRule>
  </conditionalFormatting>
  <conditionalFormatting sqref="H34">
    <cfRule type="expression" dxfId="6546" priority="133">
      <formula>$C34=$E$3</formula>
    </cfRule>
    <cfRule type="expression" dxfId="6545" priority="134">
      <formula>$C34&lt;$E$3</formula>
    </cfRule>
    <cfRule type="cellIs" dxfId="6544" priority="135" operator="equal">
      <formula>0</formula>
    </cfRule>
    <cfRule type="expression" dxfId="6543" priority="137">
      <formula>$C34&gt;$E$3</formula>
    </cfRule>
  </conditionalFormatting>
  <conditionalFormatting sqref="H34">
    <cfRule type="expression" dxfId="6542" priority="132">
      <formula>$C34&lt;$E$3</formula>
    </cfRule>
  </conditionalFormatting>
  <conditionalFormatting sqref="H34">
    <cfRule type="expression" dxfId="6541" priority="128">
      <formula>$C34=$E$3</formula>
    </cfRule>
    <cfRule type="expression" dxfId="6540" priority="129">
      <formula>$C34&lt;$E$3</formula>
    </cfRule>
    <cfRule type="cellIs" dxfId="6539" priority="130" operator="equal">
      <formula>0</formula>
    </cfRule>
    <cfRule type="expression" dxfId="6538" priority="131">
      <formula>$C34&gt;$E$3</formula>
    </cfRule>
  </conditionalFormatting>
  <conditionalFormatting sqref="H34">
    <cfRule type="expression" dxfId="6537" priority="127">
      <formula>$C34&lt;$E$3</formula>
    </cfRule>
  </conditionalFormatting>
  <conditionalFormatting sqref="H34">
    <cfRule type="expression" dxfId="6536" priority="123">
      <formula>$C34=$E$3</formula>
    </cfRule>
    <cfRule type="expression" dxfId="6535" priority="124">
      <formula>$C34&lt;$E$3</formula>
    </cfRule>
    <cfRule type="cellIs" dxfId="6534" priority="125" operator="equal">
      <formula>0</formula>
    </cfRule>
    <cfRule type="expression" dxfId="6533" priority="126">
      <formula>$C34&gt;$E$3</formula>
    </cfRule>
  </conditionalFormatting>
  <conditionalFormatting sqref="H34">
    <cfRule type="expression" dxfId="6532" priority="122">
      <formula>$C34&lt;$E$3</formula>
    </cfRule>
  </conditionalFormatting>
  <conditionalFormatting sqref="H34">
    <cfRule type="expression" dxfId="6531" priority="118">
      <formula>$C34=$E$3</formula>
    </cfRule>
    <cfRule type="expression" dxfId="6530" priority="119">
      <formula>$C34&lt;$E$3</formula>
    </cfRule>
    <cfRule type="cellIs" dxfId="6529" priority="120" operator="equal">
      <formula>0</formula>
    </cfRule>
    <cfRule type="expression" dxfId="6528" priority="121">
      <formula>$C34&gt;$E$3</formula>
    </cfRule>
  </conditionalFormatting>
  <conditionalFormatting sqref="H34">
    <cfRule type="expression" dxfId="6527" priority="117">
      <formula>$E34=""</formula>
    </cfRule>
  </conditionalFormatting>
  <conditionalFormatting sqref="H34">
    <cfRule type="expression" dxfId="6526" priority="116">
      <formula>$C34&lt;$E$3</formula>
    </cfRule>
  </conditionalFormatting>
  <conditionalFormatting sqref="H34">
    <cfRule type="expression" dxfId="6525" priority="115">
      <formula>$E34=""</formula>
    </cfRule>
  </conditionalFormatting>
  <conditionalFormatting sqref="H34">
    <cfRule type="expression" dxfId="6524" priority="114">
      <formula>$E34=""</formula>
    </cfRule>
  </conditionalFormatting>
  <conditionalFormatting sqref="H34">
    <cfRule type="expression" dxfId="6523" priority="113">
      <formula>$C34&lt;$E$3</formula>
    </cfRule>
  </conditionalFormatting>
  <conditionalFormatting sqref="H34">
    <cfRule type="expression" dxfId="6522" priority="112">
      <formula>$E34=""</formula>
    </cfRule>
  </conditionalFormatting>
  <conditionalFormatting sqref="H34">
    <cfRule type="expression" dxfId="6521" priority="111">
      <formula>$C34&lt;$E$3</formula>
    </cfRule>
  </conditionalFormatting>
  <conditionalFormatting sqref="H34">
    <cfRule type="expression" dxfId="6520" priority="110">
      <formula>$E34=""</formula>
    </cfRule>
  </conditionalFormatting>
  <conditionalFormatting sqref="H34">
    <cfRule type="expression" dxfId="6519" priority="109">
      <formula>$C34&lt;$E$3</formula>
    </cfRule>
  </conditionalFormatting>
  <conditionalFormatting sqref="H34">
    <cfRule type="expression" dxfId="6518" priority="108">
      <formula>$E34=""</formula>
    </cfRule>
  </conditionalFormatting>
  <conditionalFormatting sqref="K34">
    <cfRule type="cellIs" dxfId="6517" priority="107" stopIfTrue="1" operator="lessThan">
      <formula>0</formula>
    </cfRule>
  </conditionalFormatting>
  <conditionalFormatting sqref="K34">
    <cfRule type="expression" dxfId="6516" priority="105">
      <formula>$C34&lt;$E$3</formula>
    </cfRule>
  </conditionalFormatting>
  <conditionalFormatting sqref="K34">
    <cfRule type="expression" dxfId="6515" priority="102">
      <formula>$C34=$E$3</formula>
    </cfRule>
    <cfRule type="expression" dxfId="6514" priority="103">
      <formula>$C34&lt;$E$3</formula>
    </cfRule>
    <cfRule type="cellIs" dxfId="6513" priority="104" operator="equal">
      <formula>0</formula>
    </cfRule>
    <cfRule type="expression" dxfId="6512" priority="106">
      <formula>$C34&gt;$E$3</formula>
    </cfRule>
  </conditionalFormatting>
  <conditionalFormatting sqref="K34">
    <cfRule type="expression" dxfId="6511" priority="101">
      <formula>$E34=""</formula>
    </cfRule>
  </conditionalFormatting>
  <conditionalFormatting sqref="K34">
    <cfRule type="expression" dxfId="6510" priority="100">
      <formula>$E34=""</formula>
    </cfRule>
  </conditionalFormatting>
  <conditionalFormatting sqref="K34">
    <cfRule type="expression" dxfId="6509" priority="99">
      <formula>$E34=""</formula>
    </cfRule>
  </conditionalFormatting>
  <conditionalFormatting sqref="J34 L34">
    <cfRule type="cellIs" dxfId="6508" priority="98" stopIfTrue="1" operator="lessThan">
      <formula>0</formula>
    </cfRule>
  </conditionalFormatting>
  <conditionalFormatting sqref="J34 L34">
    <cfRule type="expression" dxfId="6507" priority="96">
      <formula>$C34&lt;$E$3</formula>
    </cfRule>
  </conditionalFormatting>
  <conditionalFormatting sqref="J34 L34">
    <cfRule type="expression" dxfId="6506" priority="93">
      <formula>$C34=$E$3</formula>
    </cfRule>
    <cfRule type="expression" dxfId="6505" priority="94">
      <formula>$C34&lt;$E$3</formula>
    </cfRule>
    <cfRule type="cellIs" dxfId="6504" priority="95" operator="equal">
      <formula>0</formula>
    </cfRule>
    <cfRule type="expression" dxfId="6503" priority="97">
      <formula>$C34&gt;$E$3</formula>
    </cfRule>
  </conditionalFormatting>
  <conditionalFormatting sqref="J34 L34">
    <cfRule type="expression" dxfId="6502" priority="92">
      <formula>$E34=""</formula>
    </cfRule>
  </conditionalFormatting>
  <conditionalFormatting sqref="J34 L34">
    <cfRule type="expression" dxfId="6501" priority="91">
      <formula>$E34=""</formula>
    </cfRule>
  </conditionalFormatting>
  <conditionalFormatting sqref="J34 L34">
    <cfRule type="expression" dxfId="6500" priority="90">
      <formula>$E34=""</formula>
    </cfRule>
  </conditionalFormatting>
  <conditionalFormatting sqref="K34">
    <cfRule type="expression" dxfId="6499" priority="88">
      <formula>$C34&lt;$E$3</formula>
    </cfRule>
  </conditionalFormatting>
  <conditionalFormatting sqref="K34">
    <cfRule type="expression" dxfId="6498" priority="85">
      <formula>$C34=$E$3</formula>
    </cfRule>
    <cfRule type="expression" dxfId="6497" priority="86">
      <formula>$C34&lt;$E$3</formula>
    </cfRule>
    <cfRule type="cellIs" dxfId="6496" priority="87" operator="equal">
      <formula>0</formula>
    </cfRule>
    <cfRule type="expression" dxfId="6495" priority="89">
      <formula>$C34&gt;$E$3</formula>
    </cfRule>
  </conditionalFormatting>
  <conditionalFormatting sqref="K34">
    <cfRule type="expression" dxfId="6494" priority="84">
      <formula>$E34=""</formula>
    </cfRule>
  </conditionalFormatting>
  <conditionalFormatting sqref="K34">
    <cfRule type="expression" dxfId="6493" priority="83">
      <formula>$E34=""</formula>
    </cfRule>
  </conditionalFormatting>
  <conditionalFormatting sqref="K34">
    <cfRule type="expression" dxfId="6492" priority="82">
      <formula>$E34=""</formula>
    </cfRule>
  </conditionalFormatting>
  <conditionalFormatting sqref="J14:J16">
    <cfRule type="cellIs" dxfId="6491" priority="81" stopIfTrue="1" operator="lessThan">
      <formula>0</formula>
    </cfRule>
  </conditionalFormatting>
  <conditionalFormatting sqref="J14:J16">
    <cfRule type="expression" dxfId="6490" priority="79">
      <formula>$C14&lt;$E$3</formula>
    </cfRule>
  </conditionalFormatting>
  <conditionalFormatting sqref="J14:J16">
    <cfRule type="expression" dxfId="6489" priority="76">
      <formula>$C14=$E$3</formula>
    </cfRule>
    <cfRule type="expression" dxfId="6488" priority="77">
      <formula>$C14&lt;$E$3</formula>
    </cfRule>
    <cfRule type="cellIs" dxfId="6487" priority="78" operator="equal">
      <formula>0</formula>
    </cfRule>
    <cfRule type="expression" dxfId="6486" priority="80">
      <formula>$C14&gt;$E$3</formula>
    </cfRule>
  </conditionalFormatting>
  <conditionalFormatting sqref="J14:J16">
    <cfRule type="expression" dxfId="6485" priority="75">
      <formula>$E14=""</formula>
    </cfRule>
  </conditionalFormatting>
  <conditionalFormatting sqref="J14:J16">
    <cfRule type="expression" dxfId="6484" priority="74">
      <formula>$E14=""</formula>
    </cfRule>
  </conditionalFormatting>
  <conditionalFormatting sqref="J14:J16">
    <cfRule type="expression" dxfId="6483" priority="73">
      <formula>$E14=""</formula>
    </cfRule>
  </conditionalFormatting>
  <conditionalFormatting sqref="J18:J19">
    <cfRule type="cellIs" dxfId="6482" priority="72" stopIfTrue="1" operator="lessThan">
      <formula>0</formula>
    </cfRule>
  </conditionalFormatting>
  <conditionalFormatting sqref="J18:J19">
    <cfRule type="expression" dxfId="6481" priority="70">
      <formula>$C18&lt;$E$3</formula>
    </cfRule>
  </conditionalFormatting>
  <conditionalFormatting sqref="J18:J19">
    <cfRule type="expression" dxfId="6480" priority="67">
      <formula>$C18=$E$3</formula>
    </cfRule>
    <cfRule type="expression" dxfId="6479" priority="68">
      <formula>$C18&lt;$E$3</formula>
    </cfRule>
    <cfRule type="cellIs" dxfId="6478" priority="69" operator="equal">
      <formula>0</formula>
    </cfRule>
    <cfRule type="expression" dxfId="6477" priority="71">
      <formula>$C18&gt;$E$3</formula>
    </cfRule>
  </conditionalFormatting>
  <conditionalFormatting sqref="J18:J19">
    <cfRule type="expression" dxfId="6476" priority="66">
      <formula>$E18=""</formula>
    </cfRule>
  </conditionalFormatting>
  <conditionalFormatting sqref="J18:J19">
    <cfRule type="expression" dxfId="6475" priority="65">
      <formula>$E18=""</formula>
    </cfRule>
  </conditionalFormatting>
  <conditionalFormatting sqref="J18:J19">
    <cfRule type="expression" dxfId="6474" priority="64">
      <formula>$E18=""</formula>
    </cfRule>
  </conditionalFormatting>
  <conditionalFormatting sqref="J23:J26">
    <cfRule type="cellIs" dxfId="6473" priority="63" stopIfTrue="1" operator="lessThan">
      <formula>0</formula>
    </cfRule>
  </conditionalFormatting>
  <conditionalFormatting sqref="J23:J26">
    <cfRule type="expression" dxfId="6472" priority="61">
      <formula>$C23&lt;$E$3</formula>
    </cfRule>
  </conditionalFormatting>
  <conditionalFormatting sqref="J23:J26">
    <cfRule type="expression" dxfId="6471" priority="58">
      <formula>$C23=$E$3</formula>
    </cfRule>
    <cfRule type="expression" dxfId="6470" priority="59">
      <formula>$C23&lt;$E$3</formula>
    </cfRule>
    <cfRule type="cellIs" dxfId="6469" priority="60" operator="equal">
      <formula>0</formula>
    </cfRule>
    <cfRule type="expression" dxfId="6468" priority="62">
      <formula>$C23&gt;$E$3</formula>
    </cfRule>
  </conditionalFormatting>
  <conditionalFormatting sqref="J23:J26">
    <cfRule type="expression" dxfId="6467" priority="57">
      <formula>$E23=""</formula>
    </cfRule>
  </conditionalFormatting>
  <conditionalFormatting sqref="J23:J26">
    <cfRule type="expression" dxfId="6466" priority="56">
      <formula>$E23=""</formula>
    </cfRule>
  </conditionalFormatting>
  <conditionalFormatting sqref="J23:J26">
    <cfRule type="expression" dxfId="6465" priority="55">
      <formula>$E23=""</formula>
    </cfRule>
  </conditionalFormatting>
  <conditionalFormatting sqref="J28:J29">
    <cfRule type="cellIs" dxfId="6464" priority="54" stopIfTrue="1" operator="lessThan">
      <formula>0</formula>
    </cfRule>
  </conditionalFormatting>
  <conditionalFormatting sqref="J28:J29">
    <cfRule type="expression" dxfId="6463" priority="52">
      <formula>$C28&lt;$E$3</formula>
    </cfRule>
  </conditionalFormatting>
  <conditionalFormatting sqref="J28:J29">
    <cfRule type="expression" dxfId="6462" priority="49">
      <formula>$C28=$E$3</formula>
    </cfRule>
    <cfRule type="expression" dxfId="6461" priority="50">
      <formula>$C28&lt;$E$3</formula>
    </cfRule>
    <cfRule type="cellIs" dxfId="6460" priority="51" operator="equal">
      <formula>0</formula>
    </cfRule>
    <cfRule type="expression" dxfId="6459" priority="53">
      <formula>$C28&gt;$E$3</formula>
    </cfRule>
  </conditionalFormatting>
  <conditionalFormatting sqref="J28:J29">
    <cfRule type="expression" dxfId="6458" priority="48">
      <formula>$E28=""</formula>
    </cfRule>
  </conditionalFormatting>
  <conditionalFormatting sqref="J28:J29">
    <cfRule type="expression" dxfId="6457" priority="47">
      <formula>$E28=""</formula>
    </cfRule>
  </conditionalFormatting>
  <conditionalFormatting sqref="J28:J29">
    <cfRule type="expression" dxfId="6456" priority="46">
      <formula>$E28=""</formula>
    </cfRule>
  </conditionalFormatting>
  <conditionalFormatting sqref="J32:J33">
    <cfRule type="cellIs" dxfId="6455" priority="45" stopIfTrue="1" operator="lessThan">
      <formula>0</formula>
    </cfRule>
  </conditionalFormatting>
  <conditionalFormatting sqref="J32:J33">
    <cfRule type="expression" dxfId="6454" priority="43">
      <formula>$C32&lt;$E$3</formula>
    </cfRule>
  </conditionalFormatting>
  <conditionalFormatting sqref="J32:J33">
    <cfRule type="expression" dxfId="6453" priority="40">
      <formula>$C32=$E$3</formula>
    </cfRule>
    <cfRule type="expression" dxfId="6452" priority="41">
      <formula>$C32&lt;$E$3</formula>
    </cfRule>
    <cfRule type="cellIs" dxfId="6451" priority="42" operator="equal">
      <formula>0</formula>
    </cfRule>
    <cfRule type="expression" dxfId="6450" priority="44">
      <formula>$C32&gt;$E$3</formula>
    </cfRule>
  </conditionalFormatting>
  <conditionalFormatting sqref="J32:J33">
    <cfRule type="expression" dxfId="6449" priority="39">
      <formula>$E32=""</formula>
    </cfRule>
  </conditionalFormatting>
  <conditionalFormatting sqref="J32:J33">
    <cfRule type="expression" dxfId="6448" priority="38">
      <formula>$E32=""</formula>
    </cfRule>
  </conditionalFormatting>
  <conditionalFormatting sqref="J32:J33">
    <cfRule type="expression" dxfId="6447" priority="37">
      <formula>$E32=""</formula>
    </cfRule>
  </conditionalFormatting>
  <conditionalFormatting sqref="J35">
    <cfRule type="cellIs" dxfId="6446" priority="36" stopIfTrue="1" operator="lessThan">
      <formula>0</formula>
    </cfRule>
  </conditionalFormatting>
  <conditionalFormatting sqref="J35">
    <cfRule type="expression" dxfId="6445" priority="34">
      <formula>$C35&lt;$E$3</formula>
    </cfRule>
  </conditionalFormatting>
  <conditionalFormatting sqref="J35">
    <cfRule type="expression" dxfId="6444" priority="31">
      <formula>$C35=$E$3</formula>
    </cfRule>
    <cfRule type="expression" dxfId="6443" priority="32">
      <formula>$C35&lt;$E$3</formula>
    </cfRule>
    <cfRule type="cellIs" dxfId="6442" priority="33" operator="equal">
      <formula>0</formula>
    </cfRule>
    <cfRule type="expression" dxfId="6441" priority="35">
      <formula>$C35&gt;$E$3</formula>
    </cfRule>
  </conditionalFormatting>
  <conditionalFormatting sqref="J35">
    <cfRule type="expression" dxfId="6440" priority="30">
      <formula>$E35=""</formula>
    </cfRule>
  </conditionalFormatting>
  <conditionalFormatting sqref="J35">
    <cfRule type="expression" dxfId="6439" priority="29">
      <formula>$E35=""</formula>
    </cfRule>
  </conditionalFormatting>
  <conditionalFormatting sqref="J35">
    <cfRule type="expression" dxfId="6438" priority="28">
      <formula>$E35=""</formula>
    </cfRule>
  </conditionalFormatting>
  <conditionalFormatting sqref="L24:L26">
    <cfRule type="cellIs" dxfId="6437" priority="27" stopIfTrue="1" operator="lessThan">
      <formula>0</formula>
    </cfRule>
  </conditionalFormatting>
  <conditionalFormatting sqref="L24:L26">
    <cfRule type="expression" dxfId="6436" priority="25">
      <formula>$C24&lt;$E$3</formula>
    </cfRule>
  </conditionalFormatting>
  <conditionalFormatting sqref="L24:L26">
    <cfRule type="expression" dxfId="6435" priority="22">
      <formula>$C24=$E$3</formula>
    </cfRule>
    <cfRule type="expression" dxfId="6434" priority="23">
      <formula>$C24&lt;$E$3</formula>
    </cfRule>
    <cfRule type="cellIs" dxfId="6433" priority="24" operator="equal">
      <formula>0</formula>
    </cfRule>
    <cfRule type="expression" dxfId="6432" priority="26">
      <formula>$C24&gt;$E$3</formula>
    </cfRule>
  </conditionalFormatting>
  <conditionalFormatting sqref="L24:L26">
    <cfRule type="expression" dxfId="6431" priority="21">
      <formula>$E24=""</formula>
    </cfRule>
  </conditionalFormatting>
  <conditionalFormatting sqref="L24:L26">
    <cfRule type="expression" dxfId="6430" priority="20">
      <formula>$E24=""</formula>
    </cfRule>
  </conditionalFormatting>
  <conditionalFormatting sqref="L24:L26">
    <cfRule type="expression" dxfId="6429" priority="19">
      <formula>$E24=""</formula>
    </cfRule>
  </conditionalFormatting>
  <conditionalFormatting sqref="L19">
    <cfRule type="cellIs" dxfId="6428" priority="18" stopIfTrue="1" operator="lessThan">
      <formula>0</formula>
    </cfRule>
  </conditionalFormatting>
  <conditionalFormatting sqref="L19">
    <cfRule type="expression" dxfId="6427" priority="16">
      <formula>$C19&lt;$E$3</formula>
    </cfRule>
  </conditionalFormatting>
  <conditionalFormatting sqref="L19">
    <cfRule type="expression" dxfId="6426" priority="13">
      <formula>$C19=$E$3</formula>
    </cfRule>
    <cfRule type="expression" dxfId="6425" priority="14">
      <formula>$C19&lt;$E$3</formula>
    </cfRule>
    <cfRule type="cellIs" dxfId="6424" priority="15" operator="equal">
      <formula>0</formula>
    </cfRule>
    <cfRule type="expression" dxfId="6423" priority="17">
      <formula>$C19&gt;$E$3</formula>
    </cfRule>
  </conditionalFormatting>
  <conditionalFormatting sqref="L19">
    <cfRule type="expression" dxfId="6422" priority="12">
      <formula>$E19=""</formula>
    </cfRule>
  </conditionalFormatting>
  <conditionalFormatting sqref="L19">
    <cfRule type="expression" dxfId="6421" priority="11">
      <formula>$E19=""</formula>
    </cfRule>
  </conditionalFormatting>
  <conditionalFormatting sqref="L19">
    <cfRule type="expression" dxfId="6420" priority="10">
      <formula>$E19=""</formula>
    </cfRule>
  </conditionalFormatting>
  <conditionalFormatting sqref="L14:L16">
    <cfRule type="cellIs" dxfId="6419" priority="9" stopIfTrue="1" operator="lessThan">
      <formula>0</formula>
    </cfRule>
  </conditionalFormatting>
  <conditionalFormatting sqref="L14:L16">
    <cfRule type="expression" dxfId="6418" priority="7">
      <formula>$C14&lt;$E$3</formula>
    </cfRule>
  </conditionalFormatting>
  <conditionalFormatting sqref="L14:L16">
    <cfRule type="expression" dxfId="6417" priority="4">
      <formula>$C14=$E$3</formula>
    </cfRule>
    <cfRule type="expression" dxfId="6416" priority="5">
      <formula>$C14&lt;$E$3</formula>
    </cfRule>
    <cfRule type="cellIs" dxfId="6415" priority="6" operator="equal">
      <formula>0</formula>
    </cfRule>
    <cfRule type="expression" dxfId="6414" priority="8">
      <formula>$C14&gt;$E$3</formula>
    </cfRule>
  </conditionalFormatting>
  <conditionalFormatting sqref="L14:L16">
    <cfRule type="expression" dxfId="6413" priority="3">
      <formula>$E14=""</formula>
    </cfRule>
  </conditionalFormatting>
  <conditionalFormatting sqref="L14:L16">
    <cfRule type="expression" dxfId="6412" priority="2">
      <formula>$E14=""</formula>
    </cfRule>
  </conditionalFormatting>
  <conditionalFormatting sqref="L14:L16">
    <cfRule type="expression" dxfId="6411" priority="1">
      <formula>$E14=""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AH66"/>
  <sheetViews>
    <sheetView zoomScaleNormal="100" workbookViewId="0">
      <selection activeCell="H8" sqref="H8"/>
    </sheetView>
  </sheetViews>
  <sheetFormatPr baseColWidth="10" defaultColWidth="8.83203125" defaultRowHeight="16"/>
  <cols>
    <col min="1" max="1" width="8" style="8" customWidth="1"/>
    <col min="2" max="2" width="8.6640625" hidden="1" customWidth="1"/>
    <col min="3" max="3" width="4.5" style="8" customWidth="1"/>
    <col min="4" max="4" width="4.5" style="8" hidden="1" customWidth="1"/>
    <col min="5" max="5" width="12" customWidth="1"/>
    <col min="6" max="8" width="8.1640625" customWidth="1"/>
    <col min="9" max="9" width="0.5" customWidth="1"/>
    <col min="10" max="10" width="8.1640625" customWidth="1"/>
    <col min="11" max="11" width="8.1640625" hidden="1" customWidth="1"/>
    <col min="12" max="12" width="8.1640625" customWidth="1"/>
    <col min="13" max="13" width="8.1640625" hidden="1" customWidth="1"/>
    <col min="14" max="14" width="13" customWidth="1"/>
    <col min="15" max="15" width="9.5" customWidth="1"/>
    <col min="16" max="17" width="9" customWidth="1"/>
    <col min="18" max="23" width="8" customWidth="1"/>
    <col min="24" max="26" width="9" customWidth="1"/>
    <col min="27" max="27" width="9.83203125" style="7" customWidth="1"/>
    <col min="28" max="28" width="8.5" customWidth="1"/>
    <col min="30" max="31" width="10.33203125" bestFit="1" customWidth="1"/>
    <col min="33" max="33" width="10.6640625" bestFit="1" customWidth="1"/>
  </cols>
  <sheetData>
    <row r="1" spans="1:34" ht="53.25" customHeight="1" thickBot="1">
      <c r="A1" s="42">
        <v>8</v>
      </c>
      <c r="B1" s="40" t="s">
        <v>0</v>
      </c>
      <c r="C1" s="41"/>
      <c r="D1" s="41"/>
      <c r="E1" s="193" t="str">
        <f>VLOOKUP(A1,'MY STATS'!$B$32:$E$43,4)</f>
        <v>Aug.</v>
      </c>
      <c r="F1" s="110" t="s">
        <v>431</v>
      </c>
      <c r="G1" s="244" t="s">
        <v>432</v>
      </c>
      <c r="H1" s="112" t="s">
        <v>433</v>
      </c>
      <c r="I1" s="113"/>
      <c r="J1" s="113" t="s">
        <v>434</v>
      </c>
      <c r="K1" s="100" t="s">
        <v>86</v>
      </c>
      <c r="L1" s="111" t="s">
        <v>435</v>
      </c>
      <c r="M1" s="100" t="s">
        <v>87</v>
      </c>
      <c r="N1" s="179" t="s">
        <v>49</v>
      </c>
      <c r="O1" s="168" t="s">
        <v>25</v>
      </c>
      <c r="P1" s="170" t="s">
        <v>26</v>
      </c>
      <c r="Q1" s="170" t="s">
        <v>26</v>
      </c>
      <c r="R1" s="181" t="s">
        <v>32</v>
      </c>
      <c r="S1" s="194" t="s">
        <v>115</v>
      </c>
      <c r="T1" s="181"/>
      <c r="U1" s="181"/>
      <c r="V1" s="181" t="s">
        <v>84</v>
      </c>
      <c r="W1" s="181" t="s">
        <v>85</v>
      </c>
      <c r="X1" s="170" t="s">
        <v>24</v>
      </c>
      <c r="Y1" s="170" t="s">
        <v>21</v>
      </c>
      <c r="Z1" s="170" t="s">
        <v>22</v>
      </c>
      <c r="AA1" s="182" t="s">
        <v>23</v>
      </c>
      <c r="AB1" s="79"/>
      <c r="AC1" s="76"/>
      <c r="AD1" s="76"/>
      <c r="AE1" s="76"/>
      <c r="AF1" s="76"/>
    </row>
    <row r="2" spans="1:34" ht="35" hidden="1" thickTop="1">
      <c r="A2" s="54" t="s">
        <v>64</v>
      </c>
      <c r="B2" s="21">
        <f>VLOOKUP(A1,'MY STATS'!$B$32:$G$43,3)</f>
        <v>45505</v>
      </c>
      <c r="D2" s="36"/>
      <c r="E2" s="2" t="s">
        <v>14</v>
      </c>
      <c r="F2" s="54" t="s">
        <v>63</v>
      </c>
      <c r="G2" s="74" t="s">
        <v>51</v>
      </c>
      <c r="H2" s="54" t="s">
        <v>50</v>
      </c>
      <c r="I2" s="54"/>
      <c r="J2" s="54"/>
      <c r="K2" s="54"/>
      <c r="L2" s="54"/>
      <c r="M2" s="54"/>
      <c r="N2" s="2"/>
      <c r="O2" s="183"/>
      <c r="P2" s="79"/>
      <c r="Q2" s="79"/>
      <c r="R2" s="184">
        <f>'MY STATS'!A16</f>
        <v>3</v>
      </c>
      <c r="S2" s="184"/>
      <c r="T2" s="184"/>
      <c r="U2" s="184"/>
      <c r="V2" s="184"/>
      <c r="W2" s="184"/>
      <c r="X2" s="79"/>
      <c r="Y2" s="79"/>
      <c r="Z2" s="95"/>
      <c r="AA2" s="95"/>
      <c r="AB2" s="79"/>
      <c r="AC2" s="76"/>
      <c r="AD2" s="76"/>
      <c r="AE2" s="76"/>
      <c r="AF2" s="76"/>
    </row>
    <row r="3" spans="1:34" ht="17" hidden="1" thickBot="1">
      <c r="A3" s="75">
        <f>'MY STATS'!D44</f>
        <v>45658</v>
      </c>
      <c r="B3" s="21">
        <f>VLOOKUP(A1+1,'MY STATS'!$B$32:$G$44,3)-1</f>
        <v>45535</v>
      </c>
      <c r="C3" s="21">
        <f>VLOOKUP(A1,'MY STATS'!$B$32:$G$43,2)</f>
        <v>45502</v>
      </c>
      <c r="D3" s="3"/>
      <c r="E3" s="3">
        <f ca="1">TODAY()</f>
        <v>45291</v>
      </c>
      <c r="F3" s="55">
        <f>'MY STATS'!B$10</f>
        <v>410382.71950754069</v>
      </c>
      <c r="G3" s="55">
        <f>VLOOKUP(A1-1,'MY STATS'!B$31:J$43,9)</f>
        <v>0</v>
      </c>
      <c r="H3" s="56">
        <f>VLOOKUP($A$1-1,'MY STATS'!$B$31:$I$44,8)</f>
        <v>0</v>
      </c>
      <c r="I3" s="56"/>
      <c r="J3" s="56"/>
      <c r="K3" s="56"/>
      <c r="L3" s="55"/>
      <c r="M3" s="55"/>
      <c r="N3" s="1"/>
      <c r="O3" s="183"/>
      <c r="P3" s="79"/>
      <c r="Q3" s="79"/>
      <c r="R3" s="184"/>
      <c r="S3" s="184"/>
      <c r="T3" s="184"/>
      <c r="U3" s="184"/>
      <c r="V3" s="184"/>
      <c r="W3" s="184"/>
      <c r="X3" s="79"/>
      <c r="Y3" s="79"/>
      <c r="Z3" s="95"/>
      <c r="AA3" s="95"/>
      <c r="AB3" s="79"/>
      <c r="AC3" s="76"/>
      <c r="AD3" s="76"/>
      <c r="AE3" s="76"/>
      <c r="AF3" s="76"/>
    </row>
    <row r="4" spans="1:34" ht="1" customHeight="1" thickTop="1" thickBot="1">
      <c r="A4"/>
      <c r="C4" s="28">
        <f>C3-1</f>
        <v>45501</v>
      </c>
      <c r="D4"/>
      <c r="O4" s="185"/>
      <c r="P4" s="172">
        <f t="shared" ref="P4:P11" si="0">H$56</f>
        <v>83150.359987125252</v>
      </c>
      <c r="Q4" s="128">
        <f>IF(R$2=3,P4,IF(R$2=2,P4*1.0936,IF(R$2=1,P4*0.000568181818*1.0936133,"")))</f>
        <v>83150.359987125252</v>
      </c>
      <c r="R4" s="169"/>
      <c r="S4" s="169"/>
      <c r="T4" s="169"/>
      <c r="U4" s="169"/>
      <c r="V4" s="169"/>
      <c r="W4" s="169"/>
      <c r="X4" s="172"/>
      <c r="Y4" s="172"/>
      <c r="Z4" s="171">
        <v>0</v>
      </c>
      <c r="AA4" s="95"/>
      <c r="AB4" s="79">
        <v>0</v>
      </c>
      <c r="AC4" s="76"/>
      <c r="AD4" s="76"/>
      <c r="AE4" s="76"/>
      <c r="AF4" s="76"/>
    </row>
    <row r="5" spans="1:34">
      <c r="A5" s="22"/>
      <c r="B5" s="19">
        <f>IF(B$2&gt;C5,0,C5)</f>
        <v>0</v>
      </c>
      <c r="C5" s="28">
        <f>C3</f>
        <v>45502</v>
      </c>
      <c r="D5" s="20">
        <f t="shared" ref="D5:D51" ca="1" si="1">TODAY()-C5</f>
        <v>-211</v>
      </c>
      <c r="E5" s="91" t="str">
        <f>IF(B5=0,"","Monday")</f>
        <v/>
      </c>
      <c r="F5" s="45"/>
      <c r="G5" s="46"/>
      <c r="H5" s="46"/>
      <c r="I5" s="150"/>
      <c r="J5" s="46"/>
      <c r="K5" s="152" t="str">
        <f>IF(R5=0,"",IF(L5="","",J5))</f>
        <v/>
      </c>
      <c r="L5" s="46"/>
      <c r="M5" s="46" t="str">
        <f t="shared" ref="M5:M11" si="2">IF(R5=0,"",IF(J5="","",L5))</f>
        <v/>
      </c>
      <c r="N5" s="301"/>
      <c r="O5" s="171" t="str">
        <f t="shared" ref="O5:O51" si="3">IF(B5=0,"",(F$3-G$3)/(A$3-B$2)+0.1)</f>
        <v/>
      </c>
      <c r="P5" s="172">
        <f t="shared" si="0"/>
        <v>83150.359987125252</v>
      </c>
      <c r="Q5" s="128">
        <f t="shared" ref="Q5:Q51" si="4">IF(R$2=3,P5,IF(R$2=2,P5*1.0936,IF(R$2=1,P5*0.000568181818*1.0936133,"")))</f>
        <v>83150.359987125252</v>
      </c>
      <c r="R5" s="128">
        <f>IF(R$2=3,H5+G5/1.0936133+F5/0.0006213712,IF(R$2=2,H5*1.0936133+G5+F5/0.0005681818,IF(R$2=1,H5*0.0005681818*1.0936133+G5*0.0005681818+F5,"")))</f>
        <v>0</v>
      </c>
      <c r="S5" s="195" t="str">
        <f>IF(R5=0,"",R5*IF(L5&gt;0,1,0))</f>
        <v/>
      </c>
      <c r="T5" s="128"/>
      <c r="U5" s="128"/>
      <c r="V5" s="129" t="str">
        <f t="shared" ref="V5:V11" si="5">IF(L5="","",IF(R5=0,"",IF(B5=0,"",IF($R$2=3,R5/L5*60/1000,IF($R$2=2,R5/L5*60/1760,IF($R$2=1,R5/L5*60,""))))))</f>
        <v/>
      </c>
      <c r="W5" s="129" t="str">
        <f t="shared" ref="W5:W11" si="6">IF(R5=0,"",IF(L5="","",V5*L5))</f>
        <v/>
      </c>
      <c r="X5" s="171">
        <f t="shared" ref="X5:Z11" si="7">F5+X4</f>
        <v>0</v>
      </c>
      <c r="Y5" s="171">
        <f t="shared" si="7"/>
        <v>0</v>
      </c>
      <c r="Z5" s="171">
        <f t="shared" si="7"/>
        <v>0</v>
      </c>
      <c r="AA5" s="186">
        <f t="shared" ref="AA5:AA51" si="8">Z5/1000+Y5/1093.6133+X5/0.621371192</f>
        <v>0</v>
      </c>
      <c r="AB5" s="187">
        <f>R5</f>
        <v>0</v>
      </c>
      <c r="AC5" s="77"/>
      <c r="AD5" s="77"/>
      <c r="AE5" s="77"/>
      <c r="AF5" s="77"/>
    </row>
    <row r="6" spans="1:34">
      <c r="A6" s="23"/>
      <c r="B6" s="4">
        <f t="shared" ref="B6:B11" si="9">IF(B$2&gt;C6,0,C6)</f>
        <v>0</v>
      </c>
      <c r="C6" s="29">
        <f>C3+1</f>
        <v>45503</v>
      </c>
      <c r="D6" s="6">
        <f t="shared" ca="1" si="1"/>
        <v>-212</v>
      </c>
      <c r="E6" s="90" t="str">
        <f>IF(B6=0,"","Tuesday")</f>
        <v/>
      </c>
      <c r="F6" s="45"/>
      <c r="G6" s="46"/>
      <c r="H6" s="46"/>
      <c r="I6" s="151"/>
      <c r="J6" s="46"/>
      <c r="K6" s="152" t="str">
        <f t="shared" ref="K6:K11" si="10">IF(R6=0,"",IF(L6="","",J6))</f>
        <v/>
      </c>
      <c r="L6" s="46"/>
      <c r="M6" s="46" t="str">
        <f t="shared" si="2"/>
        <v/>
      </c>
      <c r="N6" s="301"/>
      <c r="O6" s="171" t="str">
        <f t="shared" si="3"/>
        <v/>
      </c>
      <c r="P6" s="172">
        <f t="shared" si="0"/>
        <v>83150.359987125252</v>
      </c>
      <c r="Q6" s="195">
        <f t="shared" si="4"/>
        <v>83150.359987125252</v>
      </c>
      <c r="R6" s="128">
        <f t="shared" ref="R6:R11" si="11">IF(R$2=3,H6+G6/1.0936133+F6/0.0006213712,IF(R$2=2,H6*1.0936133+G6+F6/0.0005681818,IF(R$2=1,H6*0.0005681818*1.0936133+G6*0.0005681818+F6,"")))</f>
        <v>0</v>
      </c>
      <c r="S6" s="195" t="str">
        <f t="shared" ref="S6:S51" si="12">IF(R6=0,"",R6*IF(L6&gt;0,1,0))</f>
        <v/>
      </c>
      <c r="T6" s="128"/>
      <c r="U6" s="128"/>
      <c r="V6" s="129" t="str">
        <f t="shared" si="5"/>
        <v/>
      </c>
      <c r="W6" s="129" t="str">
        <f t="shared" si="6"/>
        <v/>
      </c>
      <c r="X6" s="171">
        <f t="shared" si="7"/>
        <v>0</v>
      </c>
      <c r="Y6" s="171">
        <f t="shared" si="7"/>
        <v>0</v>
      </c>
      <c r="Z6" s="171">
        <f t="shared" si="7"/>
        <v>0</v>
      </c>
      <c r="AA6" s="186">
        <f t="shared" si="8"/>
        <v>0</v>
      </c>
      <c r="AB6" s="173">
        <f t="shared" ref="AB6:AB51" si="13">AB5+R6</f>
        <v>0</v>
      </c>
      <c r="AC6" s="76"/>
      <c r="AD6" s="76"/>
      <c r="AE6" s="76"/>
      <c r="AF6" s="76"/>
      <c r="AH6" s="9"/>
    </row>
    <row r="7" spans="1:34">
      <c r="A7" s="23"/>
      <c r="B7" s="4">
        <f t="shared" si="9"/>
        <v>0</v>
      </c>
      <c r="C7" s="29">
        <f>C3+2</f>
        <v>45504</v>
      </c>
      <c r="D7" s="6">
        <f t="shared" ca="1" si="1"/>
        <v>-213</v>
      </c>
      <c r="E7" s="90" t="str">
        <f>IF(B7=0,"","Wednesday")</f>
        <v/>
      </c>
      <c r="F7" s="45"/>
      <c r="G7" s="46"/>
      <c r="H7" s="46"/>
      <c r="I7" s="151"/>
      <c r="J7" s="46"/>
      <c r="K7" s="152" t="str">
        <f t="shared" si="10"/>
        <v/>
      </c>
      <c r="L7" s="46"/>
      <c r="M7" s="46" t="str">
        <f t="shared" si="2"/>
        <v/>
      </c>
      <c r="N7" s="310"/>
      <c r="O7" s="171" t="str">
        <f t="shared" si="3"/>
        <v/>
      </c>
      <c r="P7" s="172">
        <f t="shared" si="0"/>
        <v>83150.359987125252</v>
      </c>
      <c r="Q7" s="128">
        <f t="shared" si="4"/>
        <v>83150.359987125252</v>
      </c>
      <c r="R7" s="128">
        <f t="shared" si="11"/>
        <v>0</v>
      </c>
      <c r="S7" s="195" t="str">
        <f t="shared" si="12"/>
        <v/>
      </c>
      <c r="T7" s="128"/>
      <c r="U7" s="128"/>
      <c r="V7" s="129" t="str">
        <f t="shared" si="5"/>
        <v/>
      </c>
      <c r="W7" s="129" t="str">
        <f t="shared" si="6"/>
        <v/>
      </c>
      <c r="X7" s="171">
        <f t="shared" si="7"/>
        <v>0</v>
      </c>
      <c r="Y7" s="171">
        <f t="shared" si="7"/>
        <v>0</v>
      </c>
      <c r="Z7" s="171">
        <f t="shared" si="7"/>
        <v>0</v>
      </c>
      <c r="AA7" s="186">
        <f t="shared" si="8"/>
        <v>0</v>
      </c>
      <c r="AB7" s="173">
        <f t="shared" si="13"/>
        <v>0</v>
      </c>
      <c r="AC7" s="76"/>
      <c r="AD7" s="76"/>
      <c r="AE7" s="76"/>
      <c r="AF7" s="76"/>
    </row>
    <row r="8" spans="1:34">
      <c r="A8" s="23"/>
      <c r="B8" s="4">
        <f t="shared" si="9"/>
        <v>45505</v>
      </c>
      <c r="C8" s="29">
        <f>C3+3</f>
        <v>45505</v>
      </c>
      <c r="D8" s="6">
        <f t="shared" ca="1" si="1"/>
        <v>-214</v>
      </c>
      <c r="E8" s="90" t="str">
        <f>IF(B8=0,"","Thursday")</f>
        <v>Thursday</v>
      </c>
      <c r="F8" s="45"/>
      <c r="G8" s="46"/>
      <c r="H8" s="46"/>
      <c r="I8" s="151"/>
      <c r="J8" s="46"/>
      <c r="K8" s="152" t="str">
        <f t="shared" si="10"/>
        <v/>
      </c>
      <c r="L8" s="46"/>
      <c r="M8" s="46" t="str">
        <f t="shared" si="2"/>
        <v/>
      </c>
      <c r="N8" s="310"/>
      <c r="O8" s="171">
        <f t="shared" si="3"/>
        <v>2682.3399967813116</v>
      </c>
      <c r="P8" s="172">
        <f t="shared" si="0"/>
        <v>83150.359987125252</v>
      </c>
      <c r="Q8" s="128">
        <f t="shared" si="4"/>
        <v>83150.359987125252</v>
      </c>
      <c r="R8" s="128">
        <f t="shared" si="11"/>
        <v>0</v>
      </c>
      <c r="S8" s="195" t="str">
        <f t="shared" si="12"/>
        <v/>
      </c>
      <c r="T8" s="128"/>
      <c r="U8" s="128"/>
      <c r="V8" s="129" t="str">
        <f t="shared" si="5"/>
        <v/>
      </c>
      <c r="W8" s="129" t="str">
        <f t="shared" si="6"/>
        <v/>
      </c>
      <c r="X8" s="171">
        <f t="shared" si="7"/>
        <v>0</v>
      </c>
      <c r="Y8" s="171">
        <f t="shared" si="7"/>
        <v>0</v>
      </c>
      <c r="Z8" s="171">
        <f t="shared" si="7"/>
        <v>0</v>
      </c>
      <c r="AA8" s="186">
        <f t="shared" si="8"/>
        <v>0</v>
      </c>
      <c r="AB8" s="173">
        <f t="shared" si="13"/>
        <v>0</v>
      </c>
      <c r="AC8" s="76"/>
      <c r="AD8" s="76"/>
      <c r="AE8" s="76"/>
      <c r="AF8" s="76"/>
    </row>
    <row r="9" spans="1:34">
      <c r="A9" s="23"/>
      <c r="B9" s="4">
        <f t="shared" si="9"/>
        <v>45506</v>
      </c>
      <c r="C9" s="29">
        <f>C3+4</f>
        <v>45506</v>
      </c>
      <c r="D9" s="6">
        <f t="shared" ca="1" si="1"/>
        <v>-215</v>
      </c>
      <c r="E9" s="90" t="str">
        <f>IF(B9=0,"","Friday")</f>
        <v>Friday</v>
      </c>
      <c r="F9" s="45"/>
      <c r="G9" s="46"/>
      <c r="H9" s="46"/>
      <c r="I9" s="151"/>
      <c r="J9" s="46"/>
      <c r="K9" s="152" t="str">
        <f t="shared" si="10"/>
        <v/>
      </c>
      <c r="L9" s="46"/>
      <c r="M9" s="46" t="str">
        <f t="shared" si="2"/>
        <v/>
      </c>
      <c r="N9" s="301"/>
      <c r="O9" s="171">
        <f t="shared" si="3"/>
        <v>2682.3399967813116</v>
      </c>
      <c r="P9" s="172">
        <f t="shared" si="0"/>
        <v>83150.359987125252</v>
      </c>
      <c r="Q9" s="128">
        <f t="shared" si="4"/>
        <v>83150.359987125252</v>
      </c>
      <c r="R9" s="128">
        <f t="shared" si="11"/>
        <v>0</v>
      </c>
      <c r="S9" s="195" t="str">
        <f t="shared" si="12"/>
        <v/>
      </c>
      <c r="T9" s="128"/>
      <c r="U9" s="128"/>
      <c r="V9" s="129" t="str">
        <f t="shared" si="5"/>
        <v/>
      </c>
      <c r="W9" s="129" t="str">
        <f t="shared" si="6"/>
        <v/>
      </c>
      <c r="X9" s="171">
        <f t="shared" si="7"/>
        <v>0</v>
      </c>
      <c r="Y9" s="171">
        <f t="shared" si="7"/>
        <v>0</v>
      </c>
      <c r="Z9" s="171">
        <f t="shared" si="7"/>
        <v>0</v>
      </c>
      <c r="AA9" s="186">
        <f t="shared" si="8"/>
        <v>0</v>
      </c>
      <c r="AB9" s="173">
        <f t="shared" si="13"/>
        <v>0</v>
      </c>
      <c r="AC9" s="76"/>
      <c r="AD9" s="76"/>
      <c r="AE9" s="76"/>
      <c r="AF9" s="76"/>
    </row>
    <row r="10" spans="1:34">
      <c r="A10" s="23"/>
      <c r="B10" s="4">
        <f t="shared" si="9"/>
        <v>45507</v>
      </c>
      <c r="C10" s="29">
        <f>C3+5</f>
        <v>45507</v>
      </c>
      <c r="D10" s="6">
        <f t="shared" ca="1" si="1"/>
        <v>-216</v>
      </c>
      <c r="E10" s="90" t="str">
        <f>IF(B10=0,"","Saturday")</f>
        <v>Saturday</v>
      </c>
      <c r="F10" s="45"/>
      <c r="G10" s="46"/>
      <c r="H10" s="46"/>
      <c r="I10" s="151"/>
      <c r="J10" s="46"/>
      <c r="K10" s="152" t="str">
        <f t="shared" si="10"/>
        <v/>
      </c>
      <c r="L10" s="46"/>
      <c r="M10" s="46" t="str">
        <f t="shared" si="2"/>
        <v/>
      </c>
      <c r="N10" s="310"/>
      <c r="O10" s="171">
        <f t="shared" si="3"/>
        <v>2682.3399967813116</v>
      </c>
      <c r="P10" s="172">
        <f t="shared" si="0"/>
        <v>83150.359987125252</v>
      </c>
      <c r="Q10" s="128">
        <f t="shared" si="4"/>
        <v>83150.359987125252</v>
      </c>
      <c r="R10" s="128">
        <f t="shared" si="11"/>
        <v>0</v>
      </c>
      <c r="S10" s="195" t="str">
        <f t="shared" si="12"/>
        <v/>
      </c>
      <c r="T10" s="128"/>
      <c r="U10" s="128"/>
      <c r="V10" s="129" t="str">
        <f t="shared" si="5"/>
        <v/>
      </c>
      <c r="W10" s="129" t="str">
        <f t="shared" si="6"/>
        <v/>
      </c>
      <c r="X10" s="171">
        <f t="shared" si="7"/>
        <v>0</v>
      </c>
      <c r="Y10" s="171">
        <f t="shared" si="7"/>
        <v>0</v>
      </c>
      <c r="Z10" s="171">
        <f t="shared" si="7"/>
        <v>0</v>
      </c>
      <c r="AA10" s="186">
        <f t="shared" si="8"/>
        <v>0</v>
      </c>
      <c r="AB10" s="173">
        <f t="shared" si="13"/>
        <v>0</v>
      </c>
      <c r="AC10" s="76"/>
      <c r="AD10" s="76"/>
      <c r="AE10" s="76"/>
      <c r="AF10" s="76"/>
    </row>
    <row r="11" spans="1:34" ht="17" thickBot="1">
      <c r="A11" s="23"/>
      <c r="B11" s="43">
        <f t="shared" si="9"/>
        <v>45508</v>
      </c>
      <c r="C11" s="32">
        <f>C3+6</f>
        <v>45508</v>
      </c>
      <c r="D11" s="44">
        <f t="shared" ca="1" si="1"/>
        <v>-217</v>
      </c>
      <c r="E11" s="93" t="str">
        <f>IF(B11=0,"","Sunday")</f>
        <v>Sunday</v>
      </c>
      <c r="F11" s="45"/>
      <c r="G11" s="46"/>
      <c r="H11" s="46"/>
      <c r="I11" s="151"/>
      <c r="J11" s="46"/>
      <c r="K11" s="152" t="str">
        <f t="shared" si="10"/>
        <v/>
      </c>
      <c r="L11" s="46"/>
      <c r="M11" s="46" t="str">
        <f t="shared" si="2"/>
        <v/>
      </c>
      <c r="N11" s="310"/>
      <c r="O11" s="171">
        <f t="shared" si="3"/>
        <v>2682.3399967813116</v>
      </c>
      <c r="P11" s="172">
        <f t="shared" si="0"/>
        <v>83150.359987125252</v>
      </c>
      <c r="Q11" s="128">
        <f t="shared" si="4"/>
        <v>83150.359987125252</v>
      </c>
      <c r="R11" s="128">
        <f t="shared" si="11"/>
        <v>0</v>
      </c>
      <c r="S11" s="195" t="str">
        <f t="shared" si="12"/>
        <v/>
      </c>
      <c r="T11" s="128"/>
      <c r="U11" s="128"/>
      <c r="V11" s="129" t="str">
        <f t="shared" si="5"/>
        <v/>
      </c>
      <c r="W11" s="129" t="str">
        <f t="shared" si="6"/>
        <v/>
      </c>
      <c r="X11" s="171">
        <f t="shared" si="7"/>
        <v>0</v>
      </c>
      <c r="Y11" s="171">
        <f t="shared" si="7"/>
        <v>0</v>
      </c>
      <c r="Z11" s="171">
        <f t="shared" si="7"/>
        <v>0</v>
      </c>
      <c r="AA11" s="186">
        <f t="shared" si="8"/>
        <v>0</v>
      </c>
      <c r="AB11" s="173">
        <f t="shared" si="13"/>
        <v>0</v>
      </c>
      <c r="AC11" s="76"/>
      <c r="AD11" s="76"/>
      <c r="AE11" s="76"/>
      <c r="AF11" s="76"/>
    </row>
    <row r="12" spans="1:34" ht="17" customHeight="1" thickTop="1">
      <c r="A12" s="25"/>
      <c r="B12" s="12"/>
      <c r="C12" s="33"/>
      <c r="D12" s="50">
        <f ca="1">TODAY()-C12</f>
        <v>45291</v>
      </c>
      <c r="E12" s="89" t="s">
        <v>65</v>
      </c>
      <c r="F12" s="49">
        <f ca="1">G12*0.000568181818</f>
        <v>-1.2427401132386871E-58</v>
      </c>
      <c r="G12" s="15">
        <f ca="1">H12*1.0936113</f>
        <v>-2.1872226000000002E-55</v>
      </c>
      <c r="H12" s="102">
        <f ca="1">IF(TODAY()&gt;=B14-7,AA11*1000,-2E-55)</f>
        <v>-2E-55</v>
      </c>
      <c r="I12" s="108"/>
      <c r="J12" s="491" t="s">
        <v>437</v>
      </c>
      <c r="K12" s="492"/>
      <c r="L12" s="492"/>
      <c r="M12" s="245"/>
      <c r="N12" s="247" t="str">
        <f>IF(R$2=1,"MILES",IF(R$2=2,"YARDS",IF(R$2=3,"METRES","????")))</f>
        <v>METRES</v>
      </c>
      <c r="O12" s="171" t="str">
        <f t="shared" si="3"/>
        <v/>
      </c>
      <c r="P12" s="172"/>
      <c r="Q12" s="128">
        <f t="shared" si="4"/>
        <v>0</v>
      </c>
      <c r="R12" s="188"/>
      <c r="S12" s="195" t="str">
        <f t="shared" si="12"/>
        <v/>
      </c>
      <c r="T12" s="188"/>
      <c r="U12" s="188"/>
      <c r="V12" s="188"/>
      <c r="W12" s="188"/>
      <c r="X12" s="172"/>
      <c r="Y12" s="172"/>
      <c r="Z12" s="95"/>
      <c r="AA12" s="186">
        <f t="shared" si="8"/>
        <v>0</v>
      </c>
      <c r="AB12" s="173">
        <f t="shared" si="13"/>
        <v>0</v>
      </c>
      <c r="AC12" s="76"/>
      <c r="AD12" s="76"/>
      <c r="AE12" s="76"/>
      <c r="AF12" s="76"/>
    </row>
    <row r="13" spans="1:34" ht="17" thickBot="1">
      <c r="A13" s="24"/>
      <c r="B13" s="13"/>
      <c r="C13" s="30"/>
      <c r="D13" s="51">
        <f ca="1">TODAY()-C13</f>
        <v>45291</v>
      </c>
      <c r="E13" s="92" t="s">
        <v>27</v>
      </c>
      <c r="F13" s="52">
        <f>G13*0.0005681818</f>
        <v>6.6669028114818447</v>
      </c>
      <c r="G13" s="53">
        <f>H13*1.0936113</f>
        <v>11733.749323688025</v>
      </c>
      <c r="H13" s="103">
        <f>SUM($O5:$O11)</f>
        <v>10729.359987125246</v>
      </c>
      <c r="I13" s="109"/>
      <c r="J13" s="493"/>
      <c r="K13" s="494"/>
      <c r="L13" s="494"/>
      <c r="M13" s="246"/>
      <c r="N13" s="248" t="str">
        <f>IF(R$2=1,"mph",IF(R$2=2,"mph",IF(R$2=3,"km/h","????")))</f>
        <v>km/h</v>
      </c>
      <c r="O13" s="171" t="str">
        <f t="shared" si="3"/>
        <v/>
      </c>
      <c r="P13" s="172"/>
      <c r="Q13" s="128">
        <f t="shared" si="4"/>
        <v>0</v>
      </c>
      <c r="R13" s="189"/>
      <c r="S13" s="195" t="str">
        <f t="shared" si="12"/>
        <v/>
      </c>
      <c r="T13" s="189"/>
      <c r="U13" s="189"/>
      <c r="V13" s="189"/>
      <c r="W13" s="189"/>
      <c r="X13" s="172"/>
      <c r="Y13" s="172"/>
      <c r="Z13" s="95"/>
      <c r="AA13" s="186">
        <f t="shared" si="8"/>
        <v>0</v>
      </c>
      <c r="AB13" s="173">
        <f t="shared" si="13"/>
        <v>0</v>
      </c>
      <c r="AC13" s="76"/>
      <c r="AD13" s="76"/>
      <c r="AE13" s="76"/>
      <c r="AF13" s="76"/>
    </row>
    <row r="14" spans="1:34" ht="17" thickTop="1">
      <c r="A14" s="1"/>
      <c r="B14" s="47">
        <f t="shared" ref="B14:B20" si="14">IF(B$2&gt;C14,0,C14)</f>
        <v>45509</v>
      </c>
      <c r="C14" s="31">
        <f>C11+1</f>
        <v>45509</v>
      </c>
      <c r="D14" s="18">
        <f t="shared" ca="1" si="1"/>
        <v>-218</v>
      </c>
      <c r="E14" s="94" t="s">
        <v>1</v>
      </c>
      <c r="F14" s="45"/>
      <c r="G14" s="46"/>
      <c r="H14" s="46"/>
      <c r="I14" s="109"/>
      <c r="J14" s="101"/>
      <c r="K14" s="152" t="str">
        <f t="shared" ref="K14:K20" si="15">IF(R14=0,"",IF(L14="","",J14))</f>
        <v/>
      </c>
      <c r="L14" s="101"/>
      <c r="M14" s="46" t="str">
        <f t="shared" ref="M14:M20" si="16">IF(R14=0,"",IF(J14="","",L14))</f>
        <v/>
      </c>
      <c r="N14" s="310"/>
      <c r="O14" s="171">
        <f t="shared" si="3"/>
        <v>2682.3399967813116</v>
      </c>
      <c r="P14" s="172">
        <f t="shared" ref="P14:P20" si="17">H$56</f>
        <v>83150.359987125252</v>
      </c>
      <c r="Q14" s="128">
        <f t="shared" si="4"/>
        <v>83150.359987125252</v>
      </c>
      <c r="R14" s="128">
        <f>IF(R$2=3,H14+G14/1.0936133+F14/0.0006213712,IF(R$2=2,H14*1.0936133+G14+F14/0.0005681818,IF(R$2=1,H14*0.0005681818*1.0936133+G14*0.0005681818+F14,"")))</f>
        <v>0</v>
      </c>
      <c r="S14" s="195" t="str">
        <f t="shared" si="12"/>
        <v/>
      </c>
      <c r="T14" s="128"/>
      <c r="U14" s="128"/>
      <c r="V14" s="129" t="str">
        <f t="shared" ref="V14:V20" si="18">IF(L14="","",IF(R14=0,"",IF(B14=0,"",IF($R$2=3,R14/L14*60/1000,IF($R$2=2,R14/L14*60/1760,IF($R$2=1,R14/L14*60,""))))))</f>
        <v/>
      </c>
      <c r="W14" s="129" t="str">
        <f t="shared" ref="W14:W20" si="19">IF(R14=0,"",IF(L14="","",V14*L14))</f>
        <v/>
      </c>
      <c r="X14" s="171">
        <f>F14+X11</f>
        <v>0</v>
      </c>
      <c r="Y14" s="171">
        <f>G14+Y11</f>
        <v>0</v>
      </c>
      <c r="Z14" s="171">
        <f>H14+Z11</f>
        <v>0</v>
      </c>
      <c r="AA14" s="186">
        <f t="shared" si="8"/>
        <v>0</v>
      </c>
      <c r="AB14" s="173">
        <f t="shared" si="13"/>
        <v>0</v>
      </c>
      <c r="AC14" s="76"/>
      <c r="AD14" s="76"/>
      <c r="AE14" s="76"/>
      <c r="AF14" s="76"/>
    </row>
    <row r="15" spans="1:34">
      <c r="A15" s="1"/>
      <c r="B15" s="4">
        <f t="shared" si="14"/>
        <v>45510</v>
      </c>
      <c r="C15" s="29">
        <f t="shared" ref="C15:C20" si="20">C14+1</f>
        <v>45510</v>
      </c>
      <c r="D15" s="6">
        <f t="shared" ca="1" si="1"/>
        <v>-219</v>
      </c>
      <c r="E15" s="90" t="s">
        <v>2</v>
      </c>
      <c r="F15" s="45"/>
      <c r="G15" s="46"/>
      <c r="H15" s="46"/>
      <c r="I15" s="151"/>
      <c r="J15" s="46"/>
      <c r="K15" s="152" t="str">
        <f t="shared" si="15"/>
        <v/>
      </c>
      <c r="L15" s="46"/>
      <c r="M15" s="46" t="str">
        <f t="shared" si="16"/>
        <v/>
      </c>
      <c r="N15" s="310"/>
      <c r="O15" s="171">
        <f t="shared" si="3"/>
        <v>2682.3399967813116</v>
      </c>
      <c r="P15" s="172">
        <f t="shared" si="17"/>
        <v>83150.359987125252</v>
      </c>
      <c r="Q15" s="128">
        <f t="shared" si="4"/>
        <v>83150.359987125252</v>
      </c>
      <c r="R15" s="128">
        <f t="shared" ref="R15:R20" si="21">IF(R$2=3,H15+G15/1.0936133+F15/0.0006213712,IF(R$2=2,H15*1.0936133+G15+F15/0.0005681818,IF(R$2=1,H15*0.0005681818*1.0936133+G15*0.0005681818+F15,"")))</f>
        <v>0</v>
      </c>
      <c r="S15" s="195" t="str">
        <f t="shared" si="12"/>
        <v/>
      </c>
      <c r="T15" s="128"/>
      <c r="U15" s="128"/>
      <c r="V15" s="129" t="str">
        <f t="shared" si="18"/>
        <v/>
      </c>
      <c r="W15" s="129" t="str">
        <f t="shared" si="19"/>
        <v/>
      </c>
      <c r="X15" s="171">
        <f t="shared" ref="X15:Z20" si="22">F15+X14</f>
        <v>0</v>
      </c>
      <c r="Y15" s="171">
        <f t="shared" si="22"/>
        <v>0</v>
      </c>
      <c r="Z15" s="171">
        <f t="shared" si="22"/>
        <v>0</v>
      </c>
      <c r="AA15" s="186">
        <f t="shared" si="8"/>
        <v>0</v>
      </c>
      <c r="AB15" s="173">
        <f t="shared" si="13"/>
        <v>0</v>
      </c>
      <c r="AC15" s="76"/>
      <c r="AD15" s="76"/>
      <c r="AE15" s="76"/>
      <c r="AF15" s="76"/>
    </row>
    <row r="16" spans="1:34">
      <c r="A16" s="1"/>
      <c r="B16" s="4">
        <f t="shared" si="14"/>
        <v>45511</v>
      </c>
      <c r="C16" s="29">
        <f t="shared" si="20"/>
        <v>45511</v>
      </c>
      <c r="D16" s="6">
        <f t="shared" ca="1" si="1"/>
        <v>-220</v>
      </c>
      <c r="E16" s="90" t="s">
        <v>3</v>
      </c>
      <c r="F16" s="45"/>
      <c r="G16" s="46"/>
      <c r="H16" s="46"/>
      <c r="I16" s="151"/>
      <c r="J16" s="46"/>
      <c r="K16" s="152" t="str">
        <f t="shared" si="15"/>
        <v/>
      </c>
      <c r="L16" s="46"/>
      <c r="M16" s="46" t="str">
        <f t="shared" si="16"/>
        <v/>
      </c>
      <c r="N16" s="301"/>
      <c r="O16" s="171">
        <f t="shared" si="3"/>
        <v>2682.3399967813116</v>
      </c>
      <c r="P16" s="172">
        <f t="shared" si="17"/>
        <v>83150.359987125252</v>
      </c>
      <c r="Q16" s="128">
        <f t="shared" si="4"/>
        <v>83150.359987125252</v>
      </c>
      <c r="R16" s="128">
        <f t="shared" si="21"/>
        <v>0</v>
      </c>
      <c r="S16" s="195" t="str">
        <f t="shared" si="12"/>
        <v/>
      </c>
      <c r="T16" s="128"/>
      <c r="U16" s="128"/>
      <c r="V16" s="129" t="str">
        <f t="shared" si="18"/>
        <v/>
      </c>
      <c r="W16" s="129" t="str">
        <f t="shared" si="19"/>
        <v/>
      </c>
      <c r="X16" s="171">
        <f t="shared" si="22"/>
        <v>0</v>
      </c>
      <c r="Y16" s="171">
        <f t="shared" si="22"/>
        <v>0</v>
      </c>
      <c r="Z16" s="171">
        <f t="shared" si="22"/>
        <v>0</v>
      </c>
      <c r="AA16" s="186">
        <f t="shared" si="8"/>
        <v>0</v>
      </c>
      <c r="AB16" s="173">
        <f t="shared" si="13"/>
        <v>0</v>
      </c>
      <c r="AC16" s="76"/>
      <c r="AD16" s="76"/>
      <c r="AE16" s="76"/>
      <c r="AF16" s="76"/>
    </row>
    <row r="17" spans="1:32">
      <c r="A17" s="1"/>
      <c r="B17" s="4">
        <f t="shared" si="14"/>
        <v>45512</v>
      </c>
      <c r="C17" s="29">
        <f t="shared" si="20"/>
        <v>45512</v>
      </c>
      <c r="D17" s="6">
        <f t="shared" ca="1" si="1"/>
        <v>-221</v>
      </c>
      <c r="E17" s="90" t="s">
        <v>4</v>
      </c>
      <c r="F17" s="45"/>
      <c r="G17" s="46"/>
      <c r="H17" s="46"/>
      <c r="I17" s="151"/>
      <c r="J17" s="46"/>
      <c r="K17" s="152" t="str">
        <f t="shared" si="15"/>
        <v/>
      </c>
      <c r="L17" s="46"/>
      <c r="M17" s="46" t="str">
        <f t="shared" si="16"/>
        <v/>
      </c>
      <c r="N17" s="310"/>
      <c r="O17" s="171">
        <f t="shared" si="3"/>
        <v>2682.3399967813116</v>
      </c>
      <c r="P17" s="172">
        <f t="shared" si="17"/>
        <v>83150.359987125252</v>
      </c>
      <c r="Q17" s="128">
        <f t="shared" si="4"/>
        <v>83150.359987125252</v>
      </c>
      <c r="R17" s="128">
        <f t="shared" si="21"/>
        <v>0</v>
      </c>
      <c r="S17" s="195" t="str">
        <f t="shared" si="12"/>
        <v/>
      </c>
      <c r="T17" s="128"/>
      <c r="U17" s="128"/>
      <c r="V17" s="129" t="str">
        <f t="shared" si="18"/>
        <v/>
      </c>
      <c r="W17" s="129" t="str">
        <f t="shared" si="19"/>
        <v/>
      </c>
      <c r="X17" s="171">
        <f t="shared" si="22"/>
        <v>0</v>
      </c>
      <c r="Y17" s="171">
        <f t="shared" si="22"/>
        <v>0</v>
      </c>
      <c r="Z17" s="171">
        <f t="shared" si="22"/>
        <v>0</v>
      </c>
      <c r="AA17" s="186">
        <f t="shared" si="8"/>
        <v>0</v>
      </c>
      <c r="AB17" s="173">
        <f t="shared" si="13"/>
        <v>0</v>
      </c>
      <c r="AC17" s="76"/>
      <c r="AD17" s="76"/>
      <c r="AE17" s="76"/>
      <c r="AF17" s="76"/>
    </row>
    <row r="18" spans="1:32">
      <c r="A18" s="1"/>
      <c r="B18" s="4">
        <f t="shared" si="14"/>
        <v>45513</v>
      </c>
      <c r="C18" s="29">
        <f t="shared" si="20"/>
        <v>45513</v>
      </c>
      <c r="D18" s="6">
        <f t="shared" ca="1" si="1"/>
        <v>-222</v>
      </c>
      <c r="E18" s="90" t="s">
        <v>5</v>
      </c>
      <c r="F18" s="45"/>
      <c r="G18" s="46"/>
      <c r="H18" s="46"/>
      <c r="I18" s="151"/>
      <c r="J18" s="46"/>
      <c r="K18" s="152" t="str">
        <f t="shared" si="15"/>
        <v/>
      </c>
      <c r="L18" s="46"/>
      <c r="M18" s="46" t="str">
        <f t="shared" si="16"/>
        <v/>
      </c>
      <c r="N18" s="301"/>
      <c r="O18" s="171">
        <f t="shared" si="3"/>
        <v>2682.3399967813116</v>
      </c>
      <c r="P18" s="172">
        <f t="shared" si="17"/>
        <v>83150.359987125252</v>
      </c>
      <c r="Q18" s="128">
        <f t="shared" si="4"/>
        <v>83150.359987125252</v>
      </c>
      <c r="R18" s="128">
        <f t="shared" si="21"/>
        <v>0</v>
      </c>
      <c r="S18" s="195" t="str">
        <f t="shared" si="12"/>
        <v/>
      </c>
      <c r="T18" s="128"/>
      <c r="U18" s="128"/>
      <c r="V18" s="129" t="str">
        <f t="shared" si="18"/>
        <v/>
      </c>
      <c r="W18" s="129" t="str">
        <f t="shared" si="19"/>
        <v/>
      </c>
      <c r="X18" s="171">
        <f t="shared" si="22"/>
        <v>0</v>
      </c>
      <c r="Y18" s="171">
        <f t="shared" si="22"/>
        <v>0</v>
      </c>
      <c r="Z18" s="171">
        <f t="shared" si="22"/>
        <v>0</v>
      </c>
      <c r="AA18" s="186">
        <f t="shared" si="8"/>
        <v>0</v>
      </c>
      <c r="AB18" s="173">
        <f t="shared" si="13"/>
        <v>0</v>
      </c>
      <c r="AC18" s="76"/>
      <c r="AD18" s="76"/>
      <c r="AE18" s="76"/>
      <c r="AF18" s="76"/>
    </row>
    <row r="19" spans="1:32">
      <c r="A19" s="1"/>
      <c r="B19" s="4">
        <f t="shared" si="14"/>
        <v>45514</v>
      </c>
      <c r="C19" s="29">
        <f t="shared" si="20"/>
        <v>45514</v>
      </c>
      <c r="D19" s="6">
        <f t="shared" ca="1" si="1"/>
        <v>-223</v>
      </c>
      <c r="E19" s="90" t="s">
        <v>6</v>
      </c>
      <c r="F19" s="45"/>
      <c r="G19" s="46"/>
      <c r="H19" s="46"/>
      <c r="I19" s="151"/>
      <c r="J19" s="46"/>
      <c r="K19" s="152" t="str">
        <f t="shared" si="15"/>
        <v/>
      </c>
      <c r="L19" s="46"/>
      <c r="M19" s="46" t="str">
        <f t="shared" si="16"/>
        <v/>
      </c>
      <c r="N19" s="310"/>
      <c r="O19" s="171">
        <f t="shared" si="3"/>
        <v>2682.3399967813116</v>
      </c>
      <c r="P19" s="172">
        <f t="shared" si="17"/>
        <v>83150.359987125252</v>
      </c>
      <c r="Q19" s="128">
        <f t="shared" si="4"/>
        <v>83150.359987125252</v>
      </c>
      <c r="R19" s="128">
        <f t="shared" si="21"/>
        <v>0</v>
      </c>
      <c r="S19" s="195" t="str">
        <f t="shared" si="12"/>
        <v/>
      </c>
      <c r="T19" s="128"/>
      <c r="U19" s="128"/>
      <c r="V19" s="129" t="str">
        <f t="shared" si="18"/>
        <v/>
      </c>
      <c r="W19" s="129" t="str">
        <f t="shared" si="19"/>
        <v/>
      </c>
      <c r="X19" s="171">
        <f t="shared" si="22"/>
        <v>0</v>
      </c>
      <c r="Y19" s="171">
        <f t="shared" si="22"/>
        <v>0</v>
      </c>
      <c r="Z19" s="171">
        <f t="shared" si="22"/>
        <v>0</v>
      </c>
      <c r="AA19" s="186">
        <f t="shared" si="8"/>
        <v>0</v>
      </c>
      <c r="AB19" s="173">
        <f t="shared" si="13"/>
        <v>0</v>
      </c>
      <c r="AC19" s="76"/>
      <c r="AD19" s="76"/>
      <c r="AE19" s="76"/>
      <c r="AF19" s="76"/>
    </row>
    <row r="20" spans="1:32" ht="17" thickBot="1">
      <c r="A20" s="1"/>
      <c r="B20" s="43">
        <f t="shared" si="14"/>
        <v>45515</v>
      </c>
      <c r="C20" s="32">
        <f t="shared" si="20"/>
        <v>45515</v>
      </c>
      <c r="D20" s="44">
        <f t="shared" ca="1" si="1"/>
        <v>-224</v>
      </c>
      <c r="E20" s="93" t="s">
        <v>7</v>
      </c>
      <c r="F20" s="45"/>
      <c r="G20" s="46"/>
      <c r="H20" s="46"/>
      <c r="I20" s="151"/>
      <c r="J20" s="46"/>
      <c r="K20" s="152" t="str">
        <f t="shared" si="15"/>
        <v/>
      </c>
      <c r="L20" s="46"/>
      <c r="M20" s="46" t="str">
        <f t="shared" si="16"/>
        <v/>
      </c>
      <c r="N20" s="303"/>
      <c r="O20" s="171">
        <f t="shared" si="3"/>
        <v>2682.3399967813116</v>
      </c>
      <c r="P20" s="172">
        <f t="shared" si="17"/>
        <v>83150.359987125252</v>
      </c>
      <c r="Q20" s="128">
        <f t="shared" si="4"/>
        <v>83150.359987125252</v>
      </c>
      <c r="R20" s="128">
        <f t="shared" si="21"/>
        <v>0</v>
      </c>
      <c r="S20" s="195" t="str">
        <f t="shared" si="12"/>
        <v/>
      </c>
      <c r="T20" s="128"/>
      <c r="U20" s="128"/>
      <c r="V20" s="129" t="str">
        <f t="shared" si="18"/>
        <v/>
      </c>
      <c r="W20" s="129" t="str">
        <f t="shared" si="19"/>
        <v/>
      </c>
      <c r="X20" s="171">
        <f t="shared" si="22"/>
        <v>0</v>
      </c>
      <c r="Y20" s="171">
        <f t="shared" si="22"/>
        <v>0</v>
      </c>
      <c r="Z20" s="171">
        <f t="shared" si="22"/>
        <v>0</v>
      </c>
      <c r="AA20" s="186">
        <f t="shared" si="8"/>
        <v>0</v>
      </c>
      <c r="AB20" s="173">
        <f t="shared" si="13"/>
        <v>0</v>
      </c>
      <c r="AC20" s="76"/>
      <c r="AD20" s="76"/>
      <c r="AE20" s="76"/>
      <c r="AF20" s="76"/>
    </row>
    <row r="21" spans="1:32" ht="17" thickTop="1">
      <c r="A21" s="25"/>
      <c r="B21" s="12"/>
      <c r="C21" s="33"/>
      <c r="D21" s="50">
        <f ca="1">TODAY()-C21</f>
        <v>45291</v>
      </c>
      <c r="E21" s="89" t="s">
        <v>65</v>
      </c>
      <c r="F21" s="49">
        <f ca="1">G21*0.000568181818</f>
        <v>-1.2427401132386871E-58</v>
      </c>
      <c r="G21" s="15">
        <f ca="1">H21*1.0936113</f>
        <v>-2.1872226000000002E-55</v>
      </c>
      <c r="H21" s="102">
        <f ca="1">IF(TODAY()&gt;=B14,(AA20-AA11)*1000,-2E-55)</f>
        <v>-2E-55</v>
      </c>
      <c r="I21" s="119"/>
      <c r="J21" s="497" t="str">
        <f>IF(R21=0,"",#REF!)</f>
        <v/>
      </c>
      <c r="K21" s="498"/>
      <c r="L21" s="498"/>
      <c r="M21" s="498"/>
      <c r="N21" s="498"/>
      <c r="O21" s="171" t="str">
        <f t="shared" si="3"/>
        <v/>
      </c>
      <c r="P21" s="172"/>
      <c r="Q21" s="128">
        <f t="shared" si="4"/>
        <v>0</v>
      </c>
      <c r="R21" s="188"/>
      <c r="S21" s="195" t="str">
        <f t="shared" si="12"/>
        <v/>
      </c>
      <c r="T21" s="188"/>
      <c r="U21" s="188"/>
      <c r="V21" s="188"/>
      <c r="W21" s="188"/>
      <c r="X21" s="95"/>
      <c r="Y21" s="95"/>
      <c r="Z21" s="95"/>
      <c r="AA21" s="186">
        <f t="shared" si="8"/>
        <v>0</v>
      </c>
      <c r="AB21" s="173">
        <f t="shared" si="13"/>
        <v>0</v>
      </c>
      <c r="AC21" s="76"/>
      <c r="AD21" s="76"/>
      <c r="AE21" s="76"/>
      <c r="AF21" s="76"/>
    </row>
    <row r="22" spans="1:32" ht="17" thickBot="1">
      <c r="A22" s="24"/>
      <c r="B22" s="13"/>
      <c r="C22" s="30"/>
      <c r="D22" s="51">
        <f ca="1">TODAY()-C22</f>
        <v>45291</v>
      </c>
      <c r="E22" s="92" t="s">
        <v>27</v>
      </c>
      <c r="F22" s="52">
        <f>G22*0.0005681818</f>
        <v>11.666843813479169</v>
      </c>
      <c r="G22" s="53">
        <f>H22*1.0936113</f>
        <v>20533.645768800001</v>
      </c>
      <c r="H22" s="104">
        <f>INT(SUM($O14:$O20))</f>
        <v>18776</v>
      </c>
      <c r="I22" s="120"/>
      <c r="J22" s="499"/>
      <c r="K22" s="500"/>
      <c r="L22" s="500"/>
      <c r="M22" s="500"/>
      <c r="N22" s="500"/>
      <c r="O22" s="171" t="str">
        <f t="shared" si="3"/>
        <v/>
      </c>
      <c r="P22" s="172"/>
      <c r="Q22" s="128">
        <f t="shared" si="4"/>
        <v>0</v>
      </c>
      <c r="R22" s="189"/>
      <c r="S22" s="195" t="str">
        <f t="shared" si="12"/>
        <v/>
      </c>
      <c r="T22" s="189"/>
      <c r="U22" s="189"/>
      <c r="V22" s="189"/>
      <c r="W22" s="189"/>
      <c r="X22" s="95"/>
      <c r="Y22" s="95"/>
      <c r="Z22" s="95"/>
      <c r="AA22" s="186">
        <f t="shared" si="8"/>
        <v>0</v>
      </c>
      <c r="AB22" s="173">
        <f t="shared" si="13"/>
        <v>0</v>
      </c>
      <c r="AC22" s="76"/>
      <c r="AD22" s="76"/>
      <c r="AE22" s="76"/>
      <c r="AF22" s="76"/>
    </row>
    <row r="23" spans="1:32" ht="17" thickTop="1">
      <c r="A23" s="1"/>
      <c r="B23" s="47">
        <f t="shared" ref="B23:B29" si="23">IF(B$2&gt;C23,0,C23)</f>
        <v>45516</v>
      </c>
      <c r="C23" s="31">
        <f>C20+1</f>
        <v>45516</v>
      </c>
      <c r="D23" s="18">
        <f t="shared" ca="1" si="1"/>
        <v>-225</v>
      </c>
      <c r="E23" s="94" t="s">
        <v>1</v>
      </c>
      <c r="F23" s="45"/>
      <c r="G23" s="46"/>
      <c r="H23" s="46"/>
      <c r="I23" s="151"/>
      <c r="J23" s="46"/>
      <c r="K23" s="152" t="str">
        <f t="shared" ref="K23:K29" si="24">IF(R23=0,"",IF(L23="","",J23))</f>
        <v/>
      </c>
      <c r="L23" s="101"/>
      <c r="M23" s="46" t="str">
        <f t="shared" ref="M23:M29" si="25">IF(R23=0,"",IF(J23="","",L23))</f>
        <v/>
      </c>
      <c r="N23" s="301"/>
      <c r="O23" s="171">
        <f t="shared" si="3"/>
        <v>2682.3399967813116</v>
      </c>
      <c r="P23" s="172">
        <f t="shared" ref="P23:P29" si="26">H$56</f>
        <v>83150.359987125252</v>
      </c>
      <c r="Q23" s="128">
        <f t="shared" si="4"/>
        <v>83150.359987125252</v>
      </c>
      <c r="R23" s="128">
        <f>IF(R$2=3,H23+G23/1.0936133+F23/0.0006213712,IF(R$2=2,H23*1.0936133+G23+F23/0.0005681818,IF(R$2=1,H23*0.0005681818*1.0936133+G23*0.0005681818+F23,"")))</f>
        <v>0</v>
      </c>
      <c r="S23" s="195" t="str">
        <f t="shared" si="12"/>
        <v/>
      </c>
      <c r="T23" s="128"/>
      <c r="U23" s="128"/>
      <c r="V23" s="129" t="str">
        <f t="shared" ref="V23:V29" si="27">IF(L23="","",IF(R23=0,"",IF(B23=0,"",IF($R$2=3,R23/L23*60/1000,IF($R$2=2,R23/L23*60/1760,IF($R$2=1,R23/L23*60,""))))))</f>
        <v/>
      </c>
      <c r="W23" s="129" t="str">
        <f t="shared" ref="W23:W29" si="28">IF(R23=0,"",IF(L23="","",V23*L23))</f>
        <v/>
      </c>
      <c r="X23" s="171">
        <f>F23+X20</f>
        <v>0</v>
      </c>
      <c r="Y23" s="171">
        <f>G23+Y20</f>
        <v>0</v>
      </c>
      <c r="Z23" s="171">
        <f>H23+Z20</f>
        <v>0</v>
      </c>
      <c r="AA23" s="186">
        <f t="shared" si="8"/>
        <v>0</v>
      </c>
      <c r="AB23" s="173">
        <f t="shared" si="13"/>
        <v>0</v>
      </c>
      <c r="AC23" s="76"/>
      <c r="AD23" s="76"/>
      <c r="AE23" s="76"/>
      <c r="AF23" s="76"/>
    </row>
    <row r="24" spans="1:32">
      <c r="A24" s="1"/>
      <c r="B24" s="4">
        <f t="shared" si="23"/>
        <v>45517</v>
      </c>
      <c r="C24" s="29">
        <f t="shared" ref="C24:C29" si="29">C23+1</f>
        <v>45517</v>
      </c>
      <c r="D24" s="6">
        <f t="shared" ca="1" si="1"/>
        <v>-226</v>
      </c>
      <c r="E24" s="90" t="s">
        <v>2</v>
      </c>
      <c r="F24" s="45"/>
      <c r="G24" s="46"/>
      <c r="H24" s="46"/>
      <c r="I24" s="151"/>
      <c r="J24" s="46"/>
      <c r="K24" s="152" t="str">
        <f t="shared" si="24"/>
        <v/>
      </c>
      <c r="L24" s="46"/>
      <c r="M24" s="46" t="str">
        <f t="shared" si="25"/>
        <v/>
      </c>
      <c r="N24" s="301"/>
      <c r="O24" s="171">
        <f t="shared" si="3"/>
        <v>2682.3399967813116</v>
      </c>
      <c r="P24" s="172">
        <f t="shared" si="26"/>
        <v>83150.359987125252</v>
      </c>
      <c r="Q24" s="128">
        <f t="shared" si="4"/>
        <v>83150.359987125252</v>
      </c>
      <c r="R24" s="128">
        <f t="shared" ref="R24:R29" si="30">IF(R$2=3,H24+G24/1.0936133+F24/0.0006213712,IF(R$2=2,H24*1.0936133+G24+F24/0.0005681818,IF(R$2=1,H24*0.0005681818*1.0936133+G24*0.0005681818+F24,"")))</f>
        <v>0</v>
      </c>
      <c r="S24" s="195" t="str">
        <f t="shared" si="12"/>
        <v/>
      </c>
      <c r="T24" s="128"/>
      <c r="U24" s="128"/>
      <c r="V24" s="129" t="str">
        <f t="shared" si="27"/>
        <v/>
      </c>
      <c r="W24" s="129" t="str">
        <f t="shared" si="28"/>
        <v/>
      </c>
      <c r="X24" s="171">
        <f t="shared" ref="X24:Z29" si="31">F24+X23</f>
        <v>0</v>
      </c>
      <c r="Y24" s="171">
        <f t="shared" si="31"/>
        <v>0</v>
      </c>
      <c r="Z24" s="171">
        <f t="shared" si="31"/>
        <v>0</v>
      </c>
      <c r="AA24" s="186">
        <f t="shared" si="8"/>
        <v>0</v>
      </c>
      <c r="AB24" s="173">
        <f t="shared" si="13"/>
        <v>0</v>
      </c>
      <c r="AC24" s="76"/>
      <c r="AD24" s="76"/>
      <c r="AE24" s="76"/>
      <c r="AF24" s="76"/>
    </row>
    <row r="25" spans="1:32">
      <c r="A25" s="1"/>
      <c r="B25" s="4">
        <f t="shared" si="23"/>
        <v>45518</v>
      </c>
      <c r="C25" s="29">
        <f t="shared" si="29"/>
        <v>45518</v>
      </c>
      <c r="D25" s="6">
        <f t="shared" ca="1" si="1"/>
        <v>-227</v>
      </c>
      <c r="E25" s="90" t="s">
        <v>3</v>
      </c>
      <c r="F25" s="45"/>
      <c r="G25" s="46"/>
      <c r="H25" s="46"/>
      <c r="I25" s="151"/>
      <c r="J25" s="46"/>
      <c r="K25" s="152" t="str">
        <f t="shared" si="24"/>
        <v/>
      </c>
      <c r="L25" s="46"/>
      <c r="M25" s="46" t="str">
        <f t="shared" si="25"/>
        <v/>
      </c>
      <c r="N25" s="301"/>
      <c r="O25" s="171">
        <f t="shared" si="3"/>
        <v>2682.3399967813116</v>
      </c>
      <c r="P25" s="172">
        <f t="shared" si="26"/>
        <v>83150.359987125252</v>
      </c>
      <c r="Q25" s="128">
        <f t="shared" si="4"/>
        <v>83150.359987125252</v>
      </c>
      <c r="R25" s="128">
        <f t="shared" si="30"/>
        <v>0</v>
      </c>
      <c r="S25" s="195" t="str">
        <f t="shared" si="12"/>
        <v/>
      </c>
      <c r="T25" s="128"/>
      <c r="U25" s="128"/>
      <c r="V25" s="129" t="str">
        <f t="shared" si="27"/>
        <v/>
      </c>
      <c r="W25" s="129" t="str">
        <f t="shared" si="28"/>
        <v/>
      </c>
      <c r="X25" s="171">
        <f t="shared" si="31"/>
        <v>0</v>
      </c>
      <c r="Y25" s="171">
        <f t="shared" si="31"/>
        <v>0</v>
      </c>
      <c r="Z25" s="171">
        <f t="shared" si="31"/>
        <v>0</v>
      </c>
      <c r="AA25" s="186">
        <f t="shared" si="8"/>
        <v>0</v>
      </c>
      <c r="AB25" s="173">
        <f t="shared" si="13"/>
        <v>0</v>
      </c>
      <c r="AC25" s="76"/>
      <c r="AD25" s="76"/>
      <c r="AE25" s="76"/>
      <c r="AF25" s="76"/>
    </row>
    <row r="26" spans="1:32">
      <c r="A26" s="1"/>
      <c r="B26" s="4">
        <f t="shared" si="23"/>
        <v>45519</v>
      </c>
      <c r="C26" s="29">
        <f t="shared" si="29"/>
        <v>45519</v>
      </c>
      <c r="D26" s="6">
        <f t="shared" ca="1" si="1"/>
        <v>-228</v>
      </c>
      <c r="E26" s="90" t="s">
        <v>4</v>
      </c>
      <c r="F26" s="45"/>
      <c r="G26" s="46"/>
      <c r="H26" s="46"/>
      <c r="I26" s="151"/>
      <c r="J26" s="46"/>
      <c r="K26" s="152" t="str">
        <f t="shared" si="24"/>
        <v/>
      </c>
      <c r="L26" s="46"/>
      <c r="M26" s="46" t="str">
        <f t="shared" si="25"/>
        <v/>
      </c>
      <c r="N26" s="301"/>
      <c r="O26" s="171">
        <f t="shared" si="3"/>
        <v>2682.3399967813116</v>
      </c>
      <c r="P26" s="172">
        <f t="shared" si="26"/>
        <v>83150.359987125252</v>
      </c>
      <c r="Q26" s="128">
        <f t="shared" si="4"/>
        <v>83150.359987125252</v>
      </c>
      <c r="R26" s="128">
        <f t="shared" si="30"/>
        <v>0</v>
      </c>
      <c r="S26" s="195" t="str">
        <f t="shared" si="12"/>
        <v/>
      </c>
      <c r="T26" s="128"/>
      <c r="U26" s="128"/>
      <c r="V26" s="129" t="str">
        <f t="shared" si="27"/>
        <v/>
      </c>
      <c r="W26" s="129" t="str">
        <f t="shared" si="28"/>
        <v/>
      </c>
      <c r="X26" s="171">
        <f t="shared" si="31"/>
        <v>0</v>
      </c>
      <c r="Y26" s="171">
        <f t="shared" si="31"/>
        <v>0</v>
      </c>
      <c r="Z26" s="171">
        <f t="shared" si="31"/>
        <v>0</v>
      </c>
      <c r="AA26" s="186">
        <f t="shared" si="8"/>
        <v>0</v>
      </c>
      <c r="AB26" s="173">
        <f t="shared" si="13"/>
        <v>0</v>
      </c>
      <c r="AC26" s="76"/>
      <c r="AD26" s="76"/>
      <c r="AE26" s="76"/>
      <c r="AF26" s="76"/>
    </row>
    <row r="27" spans="1:32">
      <c r="A27" s="1"/>
      <c r="B27" s="4">
        <f t="shared" si="23"/>
        <v>45520</v>
      </c>
      <c r="C27" s="29">
        <f t="shared" si="29"/>
        <v>45520</v>
      </c>
      <c r="D27" s="6">
        <f t="shared" ca="1" si="1"/>
        <v>-229</v>
      </c>
      <c r="E27" s="90" t="s">
        <v>5</v>
      </c>
      <c r="F27" s="45"/>
      <c r="G27" s="46"/>
      <c r="H27" s="46"/>
      <c r="I27" s="151"/>
      <c r="J27" s="46"/>
      <c r="K27" s="152" t="str">
        <f t="shared" si="24"/>
        <v/>
      </c>
      <c r="L27" s="46"/>
      <c r="M27" s="46" t="str">
        <f t="shared" si="25"/>
        <v/>
      </c>
      <c r="N27" s="301"/>
      <c r="O27" s="171">
        <f t="shared" si="3"/>
        <v>2682.3399967813116</v>
      </c>
      <c r="P27" s="172">
        <f t="shared" si="26"/>
        <v>83150.359987125252</v>
      </c>
      <c r="Q27" s="128">
        <f t="shared" si="4"/>
        <v>83150.359987125252</v>
      </c>
      <c r="R27" s="128">
        <f t="shared" si="30"/>
        <v>0</v>
      </c>
      <c r="S27" s="195" t="str">
        <f t="shared" si="12"/>
        <v/>
      </c>
      <c r="T27" s="128"/>
      <c r="U27" s="128"/>
      <c r="V27" s="129" t="str">
        <f t="shared" si="27"/>
        <v/>
      </c>
      <c r="W27" s="129" t="str">
        <f t="shared" si="28"/>
        <v/>
      </c>
      <c r="X27" s="171">
        <f t="shared" si="31"/>
        <v>0</v>
      </c>
      <c r="Y27" s="171">
        <f t="shared" si="31"/>
        <v>0</v>
      </c>
      <c r="Z27" s="171">
        <f t="shared" si="31"/>
        <v>0</v>
      </c>
      <c r="AA27" s="186">
        <f t="shared" si="8"/>
        <v>0</v>
      </c>
      <c r="AB27" s="173">
        <f t="shared" si="13"/>
        <v>0</v>
      </c>
      <c r="AC27" s="76"/>
      <c r="AD27" s="76"/>
      <c r="AE27" s="76"/>
      <c r="AF27" s="76"/>
    </row>
    <row r="28" spans="1:32">
      <c r="A28" s="1"/>
      <c r="B28" s="4">
        <f t="shared" si="23"/>
        <v>45521</v>
      </c>
      <c r="C28" s="29">
        <f t="shared" si="29"/>
        <v>45521</v>
      </c>
      <c r="D28" s="6">
        <f t="shared" ca="1" si="1"/>
        <v>-230</v>
      </c>
      <c r="E28" s="90" t="s">
        <v>6</v>
      </c>
      <c r="F28" s="45"/>
      <c r="G28" s="46"/>
      <c r="H28" s="46"/>
      <c r="I28" s="151"/>
      <c r="J28" s="46"/>
      <c r="K28" s="152" t="str">
        <f t="shared" si="24"/>
        <v/>
      </c>
      <c r="L28" s="46"/>
      <c r="M28" s="46" t="str">
        <f t="shared" si="25"/>
        <v/>
      </c>
      <c r="N28" s="301"/>
      <c r="O28" s="171">
        <f t="shared" si="3"/>
        <v>2682.3399967813116</v>
      </c>
      <c r="P28" s="172">
        <f t="shared" si="26"/>
        <v>83150.359987125252</v>
      </c>
      <c r="Q28" s="128">
        <f t="shared" si="4"/>
        <v>83150.359987125252</v>
      </c>
      <c r="R28" s="128">
        <f t="shared" si="30"/>
        <v>0</v>
      </c>
      <c r="S28" s="195" t="str">
        <f t="shared" si="12"/>
        <v/>
      </c>
      <c r="T28" s="128"/>
      <c r="U28" s="128"/>
      <c r="V28" s="129" t="str">
        <f t="shared" si="27"/>
        <v/>
      </c>
      <c r="W28" s="129" t="str">
        <f t="shared" si="28"/>
        <v/>
      </c>
      <c r="X28" s="171">
        <f t="shared" si="31"/>
        <v>0</v>
      </c>
      <c r="Y28" s="171">
        <f t="shared" si="31"/>
        <v>0</v>
      </c>
      <c r="Z28" s="171">
        <f t="shared" si="31"/>
        <v>0</v>
      </c>
      <c r="AA28" s="186">
        <f t="shared" si="8"/>
        <v>0</v>
      </c>
      <c r="AB28" s="173">
        <f t="shared" si="13"/>
        <v>0</v>
      </c>
      <c r="AC28" s="76"/>
      <c r="AD28" s="76"/>
      <c r="AE28" s="76"/>
      <c r="AF28" s="76"/>
    </row>
    <row r="29" spans="1:32" ht="17" thickBot="1">
      <c r="A29" s="1"/>
      <c r="B29" s="43">
        <f t="shared" si="23"/>
        <v>45522</v>
      </c>
      <c r="C29" s="32">
        <f t="shared" si="29"/>
        <v>45522</v>
      </c>
      <c r="D29" s="44">
        <f t="shared" ca="1" si="1"/>
        <v>-231</v>
      </c>
      <c r="E29" s="93" t="s">
        <v>7</v>
      </c>
      <c r="F29" s="45"/>
      <c r="G29" s="46"/>
      <c r="H29" s="46"/>
      <c r="I29" s="151"/>
      <c r="J29" s="46"/>
      <c r="K29" s="152" t="str">
        <f t="shared" si="24"/>
        <v/>
      </c>
      <c r="L29" s="46"/>
      <c r="M29" s="46" t="str">
        <f t="shared" si="25"/>
        <v/>
      </c>
      <c r="N29" s="301"/>
      <c r="O29" s="171">
        <f t="shared" si="3"/>
        <v>2682.3399967813116</v>
      </c>
      <c r="P29" s="172">
        <f t="shared" si="26"/>
        <v>83150.359987125252</v>
      </c>
      <c r="Q29" s="128">
        <f t="shared" si="4"/>
        <v>83150.359987125252</v>
      </c>
      <c r="R29" s="128">
        <f t="shared" si="30"/>
        <v>0</v>
      </c>
      <c r="S29" s="195" t="str">
        <f t="shared" si="12"/>
        <v/>
      </c>
      <c r="T29" s="128"/>
      <c r="U29" s="128"/>
      <c r="V29" s="129" t="str">
        <f t="shared" si="27"/>
        <v/>
      </c>
      <c r="W29" s="129" t="str">
        <f t="shared" si="28"/>
        <v/>
      </c>
      <c r="X29" s="171">
        <f t="shared" si="31"/>
        <v>0</v>
      </c>
      <c r="Y29" s="171">
        <f t="shared" si="31"/>
        <v>0</v>
      </c>
      <c r="Z29" s="171">
        <f t="shared" si="31"/>
        <v>0</v>
      </c>
      <c r="AA29" s="186">
        <f t="shared" si="8"/>
        <v>0</v>
      </c>
      <c r="AB29" s="173">
        <f t="shared" si="13"/>
        <v>0</v>
      </c>
      <c r="AC29" s="76"/>
      <c r="AD29" s="76"/>
      <c r="AE29" s="76"/>
      <c r="AF29" s="76"/>
    </row>
    <row r="30" spans="1:32" ht="17" customHeight="1" thickTop="1">
      <c r="A30" s="25"/>
      <c r="B30" s="12"/>
      <c r="C30" s="33"/>
      <c r="D30" s="50">
        <f ca="1">TODAY()-C30</f>
        <v>45291</v>
      </c>
      <c r="E30" s="89" t="s">
        <v>65</v>
      </c>
      <c r="F30" s="49">
        <f ca="1">G30*0.000568181818</f>
        <v>-1.2427401132386871E-58</v>
      </c>
      <c r="G30" s="15">
        <f ca="1">H30*1.0936113</f>
        <v>-2.1872226000000002E-55</v>
      </c>
      <c r="H30" s="102">
        <f ca="1">IF(TODAY()&gt;=B23,(AA29-AA20)*1000,-2E-55)</f>
        <v>-2E-55</v>
      </c>
      <c r="I30" s="119"/>
      <c r="J30" s="501" t="s">
        <v>438</v>
      </c>
      <c r="K30" s="502"/>
      <c r="L30" s="502"/>
      <c r="M30" s="266"/>
      <c r="N30" s="505" t="str">
        <f>IF(R$2=1,"mph",IF(R$2=2,"mph",IF(R$2=3," km/h","????")))</f>
        <v xml:space="preserve"> km/h</v>
      </c>
      <c r="O30" s="171" t="str">
        <f t="shared" si="3"/>
        <v/>
      </c>
      <c r="P30" s="172"/>
      <c r="Q30" s="128">
        <f t="shared" si="4"/>
        <v>0</v>
      </c>
      <c r="R30" s="188"/>
      <c r="S30" s="195" t="str">
        <f t="shared" si="12"/>
        <v/>
      </c>
      <c r="T30" s="188"/>
      <c r="U30" s="188"/>
      <c r="V30" s="188"/>
      <c r="W30" s="188"/>
      <c r="X30" s="95"/>
      <c r="Y30" s="95"/>
      <c r="Z30" s="95"/>
      <c r="AA30" s="186">
        <f t="shared" si="8"/>
        <v>0</v>
      </c>
      <c r="AB30" s="173">
        <f t="shared" si="13"/>
        <v>0</v>
      </c>
      <c r="AC30" s="76"/>
      <c r="AD30" s="76"/>
      <c r="AE30" s="76"/>
      <c r="AF30" s="76"/>
    </row>
    <row r="31" spans="1:32" ht="17" thickBot="1">
      <c r="A31" s="24"/>
      <c r="B31" s="13"/>
      <c r="C31" s="30"/>
      <c r="D31" s="51">
        <f ca="1">TODAY()-C31</f>
        <v>45291</v>
      </c>
      <c r="E31" s="92" t="s">
        <v>27</v>
      </c>
      <c r="F31" s="52">
        <f>G31*0.0005681818</f>
        <v>11.666843813479169</v>
      </c>
      <c r="G31" s="53">
        <f>H31*1.0936113</f>
        <v>20533.645768800001</v>
      </c>
      <c r="H31" s="104">
        <f>INT(SUM($O23:$O29))</f>
        <v>18776</v>
      </c>
      <c r="I31" s="120"/>
      <c r="J31" s="503"/>
      <c r="K31" s="504"/>
      <c r="L31" s="504"/>
      <c r="M31" s="271"/>
      <c r="N31" s="506"/>
      <c r="O31" s="171" t="str">
        <f t="shared" si="3"/>
        <v/>
      </c>
      <c r="P31" s="172"/>
      <c r="Q31" s="128">
        <f t="shared" si="4"/>
        <v>0</v>
      </c>
      <c r="R31" s="189"/>
      <c r="S31" s="195" t="str">
        <f t="shared" si="12"/>
        <v/>
      </c>
      <c r="T31" s="189"/>
      <c r="U31" s="189"/>
      <c r="V31" s="189"/>
      <c r="W31" s="189"/>
      <c r="X31" s="95"/>
      <c r="Y31" s="95"/>
      <c r="Z31" s="95"/>
      <c r="AA31" s="186">
        <f t="shared" si="8"/>
        <v>0</v>
      </c>
      <c r="AB31" s="173">
        <f t="shared" si="13"/>
        <v>0</v>
      </c>
      <c r="AC31" s="76"/>
      <c r="AD31" s="76"/>
      <c r="AE31" s="76"/>
      <c r="AF31" s="76"/>
    </row>
    <row r="32" spans="1:32" ht="17" thickTop="1">
      <c r="A32" s="1"/>
      <c r="B32" s="47">
        <f t="shared" ref="B32:B38" si="32">IF(B$2&gt;C32,0,C32)</f>
        <v>45523</v>
      </c>
      <c r="C32" s="31">
        <f>C29+1</f>
        <v>45523</v>
      </c>
      <c r="D32" s="18">
        <f t="shared" ca="1" si="1"/>
        <v>-232</v>
      </c>
      <c r="E32" s="94" t="s">
        <v>1</v>
      </c>
      <c r="F32" s="45"/>
      <c r="G32" s="46"/>
      <c r="H32" s="46"/>
      <c r="I32" s="151"/>
      <c r="J32" s="46"/>
      <c r="K32" s="152" t="str">
        <f t="shared" ref="K32:K38" si="33">IF(R32=0,"",IF(L32="","",J32))</f>
        <v/>
      </c>
      <c r="L32" s="121"/>
      <c r="M32" s="46" t="str">
        <f>IF(R32=0,"",IF(J32="","",L32))</f>
        <v/>
      </c>
      <c r="N32" s="301"/>
      <c r="O32" s="171">
        <f t="shared" si="3"/>
        <v>2682.3399967813116</v>
      </c>
      <c r="P32" s="172">
        <f t="shared" ref="P32:P38" si="34">H$56</f>
        <v>83150.359987125252</v>
      </c>
      <c r="Q32" s="128">
        <f t="shared" si="4"/>
        <v>83150.359987125252</v>
      </c>
      <c r="R32" s="128">
        <f>IF(R$2=3,H32+G32/1.0936133+F32/0.0006213712,IF(R$2=2,H32*1.0936133+G32+F32/0.0005681818,IF(R$2=1,H32*0.0005681818*1.0936133+G32*0.0005681818+F32,"")))</f>
        <v>0</v>
      </c>
      <c r="S32" s="195" t="str">
        <f t="shared" si="12"/>
        <v/>
      </c>
      <c r="T32" s="128"/>
      <c r="U32" s="128"/>
      <c r="V32" s="129" t="str">
        <f t="shared" ref="V32:V38" si="35">IF(L32="","",IF(R32=0,"",IF(B32=0,"",IF($R$2=3,R32/L32*60/1000,IF($R$2=2,R32/L32*60/1760,IF($R$2=1,R32/L32*60,""))))))</f>
        <v/>
      </c>
      <c r="W32" s="129" t="str">
        <f t="shared" ref="W32:W38" si="36">IF(R32=0,"",IF(L32="","",V32*L32))</f>
        <v/>
      </c>
      <c r="X32" s="171">
        <f>F32+X29</f>
        <v>0</v>
      </c>
      <c r="Y32" s="171">
        <f>G32+Y29</f>
        <v>0</v>
      </c>
      <c r="Z32" s="171">
        <f>H32+Z29</f>
        <v>0</v>
      </c>
      <c r="AA32" s="186">
        <f t="shared" si="8"/>
        <v>0</v>
      </c>
      <c r="AB32" s="173">
        <f t="shared" si="13"/>
        <v>0</v>
      </c>
      <c r="AC32" s="76"/>
      <c r="AD32" s="76"/>
      <c r="AE32" s="76"/>
      <c r="AF32" s="76"/>
    </row>
    <row r="33" spans="1:32">
      <c r="A33" s="1"/>
      <c r="B33" s="4">
        <f t="shared" si="32"/>
        <v>45524</v>
      </c>
      <c r="C33" s="29">
        <f t="shared" ref="C33:C38" si="37">C32+1</f>
        <v>45524</v>
      </c>
      <c r="D33" s="6">
        <f t="shared" ca="1" si="1"/>
        <v>-233</v>
      </c>
      <c r="E33" s="90" t="s">
        <v>2</v>
      </c>
      <c r="F33" s="45"/>
      <c r="G33" s="46"/>
      <c r="H33" s="46"/>
      <c r="I33" s="151"/>
      <c r="J33" s="46"/>
      <c r="K33" s="152" t="str">
        <f t="shared" si="33"/>
        <v/>
      </c>
      <c r="L33" s="46"/>
      <c r="M33" s="46" t="str">
        <f t="shared" ref="M33:M38" si="38">IF(R33=0,"",IF(J33="","",L33))</f>
        <v/>
      </c>
      <c r="N33" s="301"/>
      <c r="O33" s="171">
        <f t="shared" si="3"/>
        <v>2682.3399967813116</v>
      </c>
      <c r="P33" s="172">
        <f t="shared" si="34"/>
        <v>83150.359987125252</v>
      </c>
      <c r="Q33" s="128">
        <f t="shared" si="4"/>
        <v>83150.359987125252</v>
      </c>
      <c r="R33" s="128">
        <f t="shared" ref="R33:R38" si="39">IF(R$2=3,H33+G33/1.0936133+F33/0.0006213712,IF(R$2=2,H33*1.0936133+G33+F33/0.0005681818,IF(R$2=1,H33*0.0005681818*1.0936133+G33*0.0005681818+F33,"")))</f>
        <v>0</v>
      </c>
      <c r="S33" s="195" t="str">
        <f t="shared" si="12"/>
        <v/>
      </c>
      <c r="T33" s="128"/>
      <c r="U33" s="128"/>
      <c r="V33" s="129" t="str">
        <f t="shared" si="35"/>
        <v/>
      </c>
      <c r="W33" s="129" t="str">
        <f t="shared" si="36"/>
        <v/>
      </c>
      <c r="X33" s="171">
        <f t="shared" ref="X33:Z38" si="40">F33+X32</f>
        <v>0</v>
      </c>
      <c r="Y33" s="171">
        <f t="shared" si="40"/>
        <v>0</v>
      </c>
      <c r="Z33" s="171">
        <f t="shared" si="40"/>
        <v>0</v>
      </c>
      <c r="AA33" s="186">
        <f t="shared" si="8"/>
        <v>0</v>
      </c>
      <c r="AB33" s="173">
        <f t="shared" si="13"/>
        <v>0</v>
      </c>
      <c r="AC33" s="76"/>
      <c r="AD33" s="76"/>
      <c r="AE33" s="76"/>
      <c r="AF33" s="76"/>
    </row>
    <row r="34" spans="1:32">
      <c r="A34" s="1"/>
      <c r="B34" s="4">
        <f t="shared" si="32"/>
        <v>45525</v>
      </c>
      <c r="C34" s="29">
        <f t="shared" si="37"/>
        <v>45525</v>
      </c>
      <c r="D34" s="6">
        <f t="shared" ca="1" si="1"/>
        <v>-234</v>
      </c>
      <c r="E34" s="90" t="s">
        <v>3</v>
      </c>
      <c r="F34" s="45"/>
      <c r="G34" s="46"/>
      <c r="H34" s="46"/>
      <c r="I34" s="151"/>
      <c r="J34" s="46"/>
      <c r="K34" s="152" t="str">
        <f t="shared" si="33"/>
        <v/>
      </c>
      <c r="L34" s="46"/>
      <c r="M34" s="46" t="str">
        <f t="shared" si="38"/>
        <v/>
      </c>
      <c r="N34" s="301"/>
      <c r="O34" s="171">
        <f t="shared" si="3"/>
        <v>2682.3399967813116</v>
      </c>
      <c r="P34" s="172">
        <f t="shared" si="34"/>
        <v>83150.359987125252</v>
      </c>
      <c r="Q34" s="128">
        <f t="shared" si="4"/>
        <v>83150.359987125252</v>
      </c>
      <c r="R34" s="128">
        <f t="shared" si="39"/>
        <v>0</v>
      </c>
      <c r="S34" s="195" t="str">
        <f t="shared" si="12"/>
        <v/>
      </c>
      <c r="T34" s="128"/>
      <c r="U34" s="128"/>
      <c r="V34" s="129" t="str">
        <f t="shared" si="35"/>
        <v/>
      </c>
      <c r="W34" s="129" t="str">
        <f t="shared" si="36"/>
        <v/>
      </c>
      <c r="X34" s="171">
        <f t="shared" si="40"/>
        <v>0</v>
      </c>
      <c r="Y34" s="171">
        <f t="shared" si="40"/>
        <v>0</v>
      </c>
      <c r="Z34" s="171">
        <f t="shared" si="40"/>
        <v>0</v>
      </c>
      <c r="AA34" s="186">
        <f t="shared" si="8"/>
        <v>0</v>
      </c>
      <c r="AB34" s="173">
        <f t="shared" si="13"/>
        <v>0</v>
      </c>
      <c r="AC34" s="76"/>
      <c r="AD34" s="76"/>
      <c r="AE34" s="76"/>
      <c r="AF34" s="76"/>
    </row>
    <row r="35" spans="1:32">
      <c r="A35" s="1"/>
      <c r="B35" s="4">
        <f t="shared" si="32"/>
        <v>45526</v>
      </c>
      <c r="C35" s="29">
        <f t="shared" si="37"/>
        <v>45526</v>
      </c>
      <c r="D35" s="6">
        <f t="shared" ca="1" si="1"/>
        <v>-235</v>
      </c>
      <c r="E35" s="90" t="s">
        <v>4</v>
      </c>
      <c r="F35" s="45"/>
      <c r="G35" s="46"/>
      <c r="H35" s="46"/>
      <c r="I35" s="151"/>
      <c r="J35" s="46"/>
      <c r="K35" s="152" t="str">
        <f t="shared" si="33"/>
        <v/>
      </c>
      <c r="L35" s="46"/>
      <c r="M35" s="46" t="str">
        <f t="shared" si="38"/>
        <v/>
      </c>
      <c r="N35" s="310"/>
      <c r="O35" s="171">
        <f t="shared" si="3"/>
        <v>2682.3399967813116</v>
      </c>
      <c r="P35" s="172">
        <f t="shared" si="34"/>
        <v>83150.359987125252</v>
      </c>
      <c r="Q35" s="128">
        <f t="shared" si="4"/>
        <v>83150.359987125252</v>
      </c>
      <c r="R35" s="128">
        <f t="shared" si="39"/>
        <v>0</v>
      </c>
      <c r="S35" s="195" t="str">
        <f t="shared" si="12"/>
        <v/>
      </c>
      <c r="T35" s="128"/>
      <c r="U35" s="128"/>
      <c r="V35" s="129" t="str">
        <f t="shared" si="35"/>
        <v/>
      </c>
      <c r="W35" s="129" t="str">
        <f t="shared" si="36"/>
        <v/>
      </c>
      <c r="X35" s="171">
        <f t="shared" si="40"/>
        <v>0</v>
      </c>
      <c r="Y35" s="171">
        <f t="shared" si="40"/>
        <v>0</v>
      </c>
      <c r="Z35" s="171">
        <f t="shared" si="40"/>
        <v>0</v>
      </c>
      <c r="AA35" s="186">
        <f t="shared" si="8"/>
        <v>0</v>
      </c>
      <c r="AB35" s="173">
        <f t="shared" si="13"/>
        <v>0</v>
      </c>
      <c r="AC35" s="76"/>
      <c r="AD35" s="76"/>
      <c r="AE35" s="76"/>
      <c r="AF35" s="76"/>
    </row>
    <row r="36" spans="1:32">
      <c r="A36" s="1"/>
      <c r="B36" s="4">
        <f t="shared" si="32"/>
        <v>45527</v>
      </c>
      <c r="C36" s="29">
        <f t="shared" si="37"/>
        <v>45527</v>
      </c>
      <c r="D36" s="6">
        <f t="shared" ca="1" si="1"/>
        <v>-236</v>
      </c>
      <c r="E36" s="90" t="s">
        <v>5</v>
      </c>
      <c r="F36" s="45"/>
      <c r="G36" s="46"/>
      <c r="H36" s="46"/>
      <c r="I36" s="151"/>
      <c r="J36" s="46"/>
      <c r="K36" s="152" t="str">
        <f t="shared" si="33"/>
        <v/>
      </c>
      <c r="L36" s="46"/>
      <c r="M36" s="46" t="str">
        <f t="shared" si="38"/>
        <v/>
      </c>
      <c r="N36" s="301"/>
      <c r="O36" s="171">
        <f t="shared" si="3"/>
        <v>2682.3399967813116</v>
      </c>
      <c r="P36" s="172">
        <f t="shared" si="34"/>
        <v>83150.359987125252</v>
      </c>
      <c r="Q36" s="128">
        <f t="shared" si="4"/>
        <v>83150.359987125252</v>
      </c>
      <c r="R36" s="128">
        <f t="shared" si="39"/>
        <v>0</v>
      </c>
      <c r="S36" s="195" t="str">
        <f t="shared" si="12"/>
        <v/>
      </c>
      <c r="T36" s="128"/>
      <c r="U36" s="128"/>
      <c r="V36" s="129" t="str">
        <f t="shared" si="35"/>
        <v/>
      </c>
      <c r="W36" s="129" t="str">
        <f t="shared" si="36"/>
        <v/>
      </c>
      <c r="X36" s="171">
        <f t="shared" si="40"/>
        <v>0</v>
      </c>
      <c r="Y36" s="171">
        <f t="shared" si="40"/>
        <v>0</v>
      </c>
      <c r="Z36" s="171">
        <f t="shared" si="40"/>
        <v>0</v>
      </c>
      <c r="AA36" s="186">
        <f t="shared" si="8"/>
        <v>0</v>
      </c>
      <c r="AB36" s="173">
        <f t="shared" si="13"/>
        <v>0</v>
      </c>
      <c r="AC36" s="76"/>
      <c r="AD36" s="76"/>
      <c r="AE36" s="76"/>
      <c r="AF36" s="76"/>
    </row>
    <row r="37" spans="1:32">
      <c r="A37" s="1"/>
      <c r="B37" s="4">
        <f t="shared" si="32"/>
        <v>45528</v>
      </c>
      <c r="C37" s="29">
        <f t="shared" si="37"/>
        <v>45528</v>
      </c>
      <c r="D37" s="6">
        <f t="shared" ca="1" si="1"/>
        <v>-237</v>
      </c>
      <c r="E37" s="90" t="s">
        <v>6</v>
      </c>
      <c r="F37" s="45"/>
      <c r="G37" s="46"/>
      <c r="H37" s="46"/>
      <c r="I37" s="151"/>
      <c r="J37" s="46"/>
      <c r="K37" s="152" t="str">
        <f t="shared" si="33"/>
        <v/>
      </c>
      <c r="L37" s="46"/>
      <c r="M37" s="46" t="str">
        <f t="shared" si="38"/>
        <v/>
      </c>
      <c r="N37" s="310"/>
      <c r="O37" s="171">
        <f t="shared" si="3"/>
        <v>2682.3399967813116</v>
      </c>
      <c r="P37" s="172">
        <f t="shared" si="34"/>
        <v>83150.359987125252</v>
      </c>
      <c r="Q37" s="128">
        <f t="shared" si="4"/>
        <v>83150.359987125252</v>
      </c>
      <c r="R37" s="128">
        <f t="shared" si="39"/>
        <v>0</v>
      </c>
      <c r="S37" s="195" t="str">
        <f t="shared" si="12"/>
        <v/>
      </c>
      <c r="T37" s="128"/>
      <c r="U37" s="128"/>
      <c r="V37" s="129" t="str">
        <f t="shared" si="35"/>
        <v/>
      </c>
      <c r="W37" s="129" t="str">
        <f t="shared" si="36"/>
        <v/>
      </c>
      <c r="X37" s="171">
        <f t="shared" si="40"/>
        <v>0</v>
      </c>
      <c r="Y37" s="171">
        <f t="shared" si="40"/>
        <v>0</v>
      </c>
      <c r="Z37" s="171">
        <f t="shared" si="40"/>
        <v>0</v>
      </c>
      <c r="AA37" s="186">
        <f t="shared" si="8"/>
        <v>0</v>
      </c>
      <c r="AB37" s="173">
        <f t="shared" si="13"/>
        <v>0</v>
      </c>
      <c r="AC37" s="76"/>
      <c r="AD37" s="76"/>
      <c r="AE37" s="76"/>
      <c r="AF37" s="76"/>
    </row>
    <row r="38" spans="1:32" ht="17" thickBot="1">
      <c r="A38" s="1"/>
      <c r="B38" s="43">
        <f t="shared" si="32"/>
        <v>45529</v>
      </c>
      <c r="C38" s="32">
        <f t="shared" si="37"/>
        <v>45529</v>
      </c>
      <c r="D38" s="44">
        <f t="shared" ca="1" si="1"/>
        <v>-238</v>
      </c>
      <c r="E38" s="93" t="s">
        <v>7</v>
      </c>
      <c r="F38" s="45"/>
      <c r="G38" s="46"/>
      <c r="H38" s="46"/>
      <c r="I38" s="151"/>
      <c r="J38" s="46"/>
      <c r="K38" s="152" t="str">
        <f t="shared" si="33"/>
        <v/>
      </c>
      <c r="L38" s="46"/>
      <c r="M38" s="46" t="str">
        <f t="shared" si="38"/>
        <v/>
      </c>
      <c r="N38" s="303"/>
      <c r="O38" s="171">
        <f t="shared" si="3"/>
        <v>2682.3399967813116</v>
      </c>
      <c r="P38" s="172">
        <f t="shared" si="34"/>
        <v>83150.359987125252</v>
      </c>
      <c r="Q38" s="128">
        <f t="shared" si="4"/>
        <v>83150.359987125252</v>
      </c>
      <c r="R38" s="128">
        <f t="shared" si="39"/>
        <v>0</v>
      </c>
      <c r="S38" s="195" t="str">
        <f t="shared" si="12"/>
        <v/>
      </c>
      <c r="T38" s="128"/>
      <c r="U38" s="128"/>
      <c r="V38" s="129" t="str">
        <f t="shared" si="35"/>
        <v/>
      </c>
      <c r="W38" s="129" t="str">
        <f t="shared" si="36"/>
        <v/>
      </c>
      <c r="X38" s="171">
        <f t="shared" si="40"/>
        <v>0</v>
      </c>
      <c r="Y38" s="171">
        <f t="shared" si="40"/>
        <v>0</v>
      </c>
      <c r="Z38" s="171">
        <f t="shared" si="40"/>
        <v>0</v>
      </c>
      <c r="AA38" s="186">
        <f t="shared" si="8"/>
        <v>0</v>
      </c>
      <c r="AB38" s="173">
        <f t="shared" si="13"/>
        <v>0</v>
      </c>
      <c r="AC38" s="76"/>
      <c r="AD38" s="76"/>
      <c r="AE38" s="76"/>
      <c r="AF38" s="76"/>
    </row>
    <row r="39" spans="1:32" ht="17" thickTop="1">
      <c r="A39" s="25"/>
      <c r="B39" s="12"/>
      <c r="C39" s="33"/>
      <c r="D39" s="50">
        <f ca="1">TODAY()-C39</f>
        <v>45291</v>
      </c>
      <c r="E39" s="89" t="s">
        <v>65</v>
      </c>
      <c r="F39" s="49">
        <f ca="1">G39*0.000568181818</f>
        <v>-1.2427401132386871E-58</v>
      </c>
      <c r="G39" s="15">
        <f ca="1">H39*1.0936113</f>
        <v>-2.1872226000000002E-55</v>
      </c>
      <c r="H39" s="16">
        <f ca="1">IF(TODAY()&gt;=B32,(AA38-AA29)*1000,-2E-55)</f>
        <v>-2E-55</v>
      </c>
      <c r="I39" s="119"/>
      <c r="J39" s="160" t="s">
        <v>107</v>
      </c>
      <c r="K39" s="122"/>
      <c r="L39" s="161" t="s">
        <v>108</v>
      </c>
      <c r="M39" s="122"/>
      <c r="N39" s="180" t="s">
        <v>109</v>
      </c>
      <c r="O39" s="171" t="str">
        <f t="shared" si="3"/>
        <v/>
      </c>
      <c r="P39" s="172"/>
      <c r="Q39" s="128">
        <f t="shared" si="4"/>
        <v>0</v>
      </c>
      <c r="R39" s="188"/>
      <c r="S39" s="195" t="str">
        <f t="shared" si="12"/>
        <v/>
      </c>
      <c r="T39" s="188"/>
      <c r="U39" s="188"/>
      <c r="V39" s="188"/>
      <c r="W39" s="188"/>
      <c r="X39" s="95"/>
      <c r="Y39" s="95"/>
      <c r="Z39" s="95"/>
      <c r="AA39" s="186">
        <f t="shared" si="8"/>
        <v>0</v>
      </c>
      <c r="AB39" s="173">
        <f t="shared" si="13"/>
        <v>0</v>
      </c>
      <c r="AC39" s="76"/>
      <c r="AD39" s="76"/>
      <c r="AE39" s="76"/>
      <c r="AF39" s="76"/>
    </row>
    <row r="40" spans="1:32" ht="17" thickBot="1">
      <c r="A40" s="24"/>
      <c r="B40" s="13"/>
      <c r="C40" s="30"/>
      <c r="D40" s="51">
        <f ca="1">TODAY()-C40</f>
        <v>45291</v>
      </c>
      <c r="E40" s="92" t="s">
        <v>27</v>
      </c>
      <c r="F40" s="52">
        <f>G40*0.0005681818</f>
        <v>11.666843813479169</v>
      </c>
      <c r="G40" s="53">
        <f>H40*1.0936113</f>
        <v>20533.645768800001</v>
      </c>
      <c r="H40" s="5">
        <f>INT(SUM($O32:$O38))</f>
        <v>18776</v>
      </c>
      <c r="I40" s="120"/>
      <c r="J40" s="123"/>
      <c r="K40" s="124"/>
      <c r="L40" s="159">
        <f>COUNT(S5:S51)-COUNT(V5:V51)</f>
        <v>0</v>
      </c>
      <c r="M40" s="124"/>
      <c r="N40" s="124"/>
      <c r="O40" s="171" t="str">
        <f t="shared" si="3"/>
        <v/>
      </c>
      <c r="P40" s="172"/>
      <c r="Q40" s="128">
        <f t="shared" si="4"/>
        <v>0</v>
      </c>
      <c r="R40" s="189"/>
      <c r="S40" s="195" t="str">
        <f t="shared" si="12"/>
        <v/>
      </c>
      <c r="T40" s="189"/>
      <c r="U40" s="189"/>
      <c r="V40" s="189"/>
      <c r="W40" s="189"/>
      <c r="X40" s="95"/>
      <c r="Y40" s="95"/>
      <c r="Z40" s="95"/>
      <c r="AA40" s="186">
        <f t="shared" si="8"/>
        <v>0</v>
      </c>
      <c r="AB40" s="173">
        <f t="shared" si="13"/>
        <v>0</v>
      </c>
      <c r="AC40" s="76"/>
      <c r="AD40" s="76"/>
      <c r="AE40" s="76"/>
      <c r="AF40" s="76"/>
    </row>
    <row r="41" spans="1:32" ht="17" thickTop="1">
      <c r="A41" s="1"/>
      <c r="B41" s="47">
        <f t="shared" ref="B41:B47" si="41">IF(B$3&lt;C41,0,C41)</f>
        <v>45530</v>
      </c>
      <c r="C41" s="31">
        <f>C38+1</f>
        <v>45530</v>
      </c>
      <c r="D41" s="18">
        <f t="shared" ca="1" si="1"/>
        <v>-239</v>
      </c>
      <c r="E41" s="94" t="str">
        <f>IF(B41=0,"","Monday")</f>
        <v>Monday</v>
      </c>
      <c r="F41" s="45"/>
      <c r="G41" s="46"/>
      <c r="H41" s="46"/>
      <c r="I41" s="151"/>
      <c r="J41" s="101"/>
      <c r="K41" s="152" t="str">
        <f t="shared" ref="K41:K47" si="42">IF(R41=0,"",IF(L41="","",J41))</f>
        <v/>
      </c>
      <c r="L41" s="101"/>
      <c r="M41" s="46" t="str">
        <f>IF(R41=0,"",IF(J41="","",L41))</f>
        <v/>
      </c>
      <c r="N41" s="301"/>
      <c r="O41" s="171">
        <f t="shared" si="3"/>
        <v>2682.3399967813116</v>
      </c>
      <c r="P41" s="172">
        <f t="shared" ref="P41:P47" si="43">H$56</f>
        <v>83150.359987125252</v>
      </c>
      <c r="Q41" s="128">
        <f t="shared" si="4"/>
        <v>83150.359987125252</v>
      </c>
      <c r="R41" s="128">
        <f>IF(R$2=3,H41+G41/1.0936133+F41/0.0006213712,IF(R$2=2,H41*1.0936133+G41+F41/0.0005681818,IF(R$2=1,H41*0.0005681818*1.0936133+G41*0.0005681818+F41,"")))</f>
        <v>0</v>
      </c>
      <c r="S41" s="195" t="str">
        <f t="shared" si="12"/>
        <v/>
      </c>
      <c r="T41" s="128"/>
      <c r="U41" s="128"/>
      <c r="V41" s="129" t="str">
        <f t="shared" ref="V41:V47" si="44">IF(L41="","",IF(R41=0,"",IF(B41=0,"",IF($R$2=3,R41/L41*60/1000,IF($R$2=2,R41/L41*60/1760,IF($R$2=1,R41/L41*60,""))))))</f>
        <v/>
      </c>
      <c r="W41" s="129" t="str">
        <f t="shared" ref="W41:W47" si="45">IF(R41=0,"",IF(L41="","",V41*L41))</f>
        <v/>
      </c>
      <c r="X41" s="171">
        <f>F41+X38</f>
        <v>0</v>
      </c>
      <c r="Y41" s="171">
        <f>G41+Y38</f>
        <v>0</v>
      </c>
      <c r="Z41" s="171">
        <f>H41+Z38</f>
        <v>0</v>
      </c>
      <c r="AA41" s="186">
        <f t="shared" si="8"/>
        <v>0</v>
      </c>
      <c r="AB41" s="173">
        <f t="shared" si="13"/>
        <v>0</v>
      </c>
      <c r="AC41" s="76"/>
      <c r="AD41" s="76"/>
      <c r="AE41" s="76"/>
      <c r="AF41" s="76"/>
    </row>
    <row r="42" spans="1:32">
      <c r="A42" s="1"/>
      <c r="B42" s="4">
        <f t="shared" si="41"/>
        <v>45531</v>
      </c>
      <c r="C42" s="29">
        <f t="shared" ref="C42:C47" si="46">C41+1</f>
        <v>45531</v>
      </c>
      <c r="D42" s="6">
        <f t="shared" ca="1" si="1"/>
        <v>-240</v>
      </c>
      <c r="E42" s="90" t="str">
        <f>IF(B42=0,"","Tuesday")</f>
        <v>Tuesday</v>
      </c>
      <c r="F42" s="45"/>
      <c r="G42" s="46"/>
      <c r="H42" s="46"/>
      <c r="I42" s="151"/>
      <c r="J42" s="46"/>
      <c r="K42" s="152" t="str">
        <f t="shared" si="42"/>
        <v/>
      </c>
      <c r="L42" s="46"/>
      <c r="M42" s="46" t="str">
        <f t="shared" ref="M42:M47" si="47">IF(R42=0,"",IF(J42="","",L42))</f>
        <v/>
      </c>
      <c r="N42" s="301"/>
      <c r="O42" s="171">
        <f t="shared" si="3"/>
        <v>2682.3399967813116</v>
      </c>
      <c r="P42" s="172">
        <f t="shared" si="43"/>
        <v>83150.359987125252</v>
      </c>
      <c r="Q42" s="128">
        <f t="shared" si="4"/>
        <v>83150.359987125252</v>
      </c>
      <c r="R42" s="128">
        <f t="shared" ref="R42:R47" si="48">IF(R$2=3,H42+G42/1.0936133+F42/0.0006213712,IF(R$2=2,H42*1.0936133+G42+F42/0.0005681818,IF(R$2=1,H42*0.0005681818*1.0936133+G42*0.0005681818+F42,"")))</f>
        <v>0</v>
      </c>
      <c r="S42" s="195" t="str">
        <f t="shared" si="12"/>
        <v/>
      </c>
      <c r="T42" s="128"/>
      <c r="U42" s="128"/>
      <c r="V42" s="129" t="str">
        <f t="shared" si="44"/>
        <v/>
      </c>
      <c r="W42" s="129" t="str">
        <f t="shared" si="45"/>
        <v/>
      </c>
      <c r="X42" s="171">
        <f t="shared" ref="X42:Z47" si="49">F42+X41</f>
        <v>0</v>
      </c>
      <c r="Y42" s="171">
        <f t="shared" si="49"/>
        <v>0</v>
      </c>
      <c r="Z42" s="171">
        <f t="shared" si="49"/>
        <v>0</v>
      </c>
      <c r="AA42" s="186">
        <f t="shared" si="8"/>
        <v>0</v>
      </c>
      <c r="AB42" s="173">
        <f t="shared" si="13"/>
        <v>0</v>
      </c>
      <c r="AC42" s="76"/>
      <c r="AD42" s="76"/>
      <c r="AE42" s="76"/>
      <c r="AF42" s="76"/>
    </row>
    <row r="43" spans="1:32">
      <c r="A43" s="1"/>
      <c r="B43" s="4">
        <f t="shared" si="41"/>
        <v>45532</v>
      </c>
      <c r="C43" s="29">
        <f t="shared" si="46"/>
        <v>45532</v>
      </c>
      <c r="D43" s="6">
        <f t="shared" ca="1" si="1"/>
        <v>-241</v>
      </c>
      <c r="E43" s="90" t="str">
        <f>IF(B43=0,"","Wednesday")</f>
        <v>Wednesday</v>
      </c>
      <c r="F43" s="45"/>
      <c r="G43" s="46"/>
      <c r="H43" s="46"/>
      <c r="I43" s="151"/>
      <c r="J43" s="46"/>
      <c r="K43" s="152" t="str">
        <f t="shared" si="42"/>
        <v/>
      </c>
      <c r="L43" s="46"/>
      <c r="M43" s="46" t="str">
        <f t="shared" si="47"/>
        <v/>
      </c>
      <c r="N43" s="301"/>
      <c r="O43" s="171">
        <f t="shared" si="3"/>
        <v>2682.3399967813116</v>
      </c>
      <c r="P43" s="172">
        <f t="shared" si="43"/>
        <v>83150.359987125252</v>
      </c>
      <c r="Q43" s="128">
        <f t="shared" si="4"/>
        <v>83150.359987125252</v>
      </c>
      <c r="R43" s="128">
        <f t="shared" si="48"/>
        <v>0</v>
      </c>
      <c r="S43" s="195" t="str">
        <f t="shared" si="12"/>
        <v/>
      </c>
      <c r="T43" s="128"/>
      <c r="U43" s="128"/>
      <c r="V43" s="129" t="str">
        <f t="shared" si="44"/>
        <v/>
      </c>
      <c r="W43" s="129" t="str">
        <f t="shared" si="45"/>
        <v/>
      </c>
      <c r="X43" s="171">
        <f t="shared" si="49"/>
        <v>0</v>
      </c>
      <c r="Y43" s="171">
        <f t="shared" si="49"/>
        <v>0</v>
      </c>
      <c r="Z43" s="171">
        <f t="shared" si="49"/>
        <v>0</v>
      </c>
      <c r="AA43" s="186">
        <f t="shared" si="8"/>
        <v>0</v>
      </c>
      <c r="AB43" s="173">
        <f t="shared" si="13"/>
        <v>0</v>
      </c>
      <c r="AC43" s="76"/>
      <c r="AD43" s="76"/>
      <c r="AE43" s="76"/>
      <c r="AF43" s="76"/>
    </row>
    <row r="44" spans="1:32">
      <c r="A44" s="1"/>
      <c r="B44" s="4">
        <f t="shared" si="41"/>
        <v>45533</v>
      </c>
      <c r="C44" s="29">
        <f t="shared" si="46"/>
        <v>45533</v>
      </c>
      <c r="D44" s="6">
        <f t="shared" ca="1" si="1"/>
        <v>-242</v>
      </c>
      <c r="E44" s="90" t="str">
        <f>IF(B44=0,"","Thursday")</f>
        <v>Thursday</v>
      </c>
      <c r="F44" s="45"/>
      <c r="G44" s="46"/>
      <c r="H44" s="46"/>
      <c r="I44" s="151"/>
      <c r="J44" s="46"/>
      <c r="K44" s="152" t="str">
        <f t="shared" si="42"/>
        <v/>
      </c>
      <c r="L44" s="46"/>
      <c r="M44" s="46" t="str">
        <f t="shared" si="47"/>
        <v/>
      </c>
      <c r="N44" s="301"/>
      <c r="O44" s="171">
        <f t="shared" si="3"/>
        <v>2682.3399967813116</v>
      </c>
      <c r="P44" s="172">
        <f t="shared" si="43"/>
        <v>83150.359987125252</v>
      </c>
      <c r="Q44" s="128">
        <f t="shared" si="4"/>
        <v>83150.359987125252</v>
      </c>
      <c r="R44" s="128">
        <f t="shared" si="48"/>
        <v>0</v>
      </c>
      <c r="S44" s="195" t="str">
        <f t="shared" si="12"/>
        <v/>
      </c>
      <c r="T44" s="128"/>
      <c r="U44" s="128"/>
      <c r="V44" s="129" t="str">
        <f t="shared" si="44"/>
        <v/>
      </c>
      <c r="W44" s="129" t="str">
        <f t="shared" si="45"/>
        <v/>
      </c>
      <c r="X44" s="171">
        <f t="shared" si="49"/>
        <v>0</v>
      </c>
      <c r="Y44" s="171">
        <f t="shared" si="49"/>
        <v>0</v>
      </c>
      <c r="Z44" s="171">
        <f t="shared" si="49"/>
        <v>0</v>
      </c>
      <c r="AA44" s="186">
        <f t="shared" si="8"/>
        <v>0</v>
      </c>
      <c r="AB44" s="173">
        <f t="shared" si="13"/>
        <v>0</v>
      </c>
      <c r="AC44" s="130"/>
      <c r="AD44" s="130"/>
      <c r="AE44" s="76"/>
      <c r="AF44" s="76"/>
    </row>
    <row r="45" spans="1:32">
      <c r="A45" s="1"/>
      <c r="B45" s="4">
        <f t="shared" si="41"/>
        <v>45534</v>
      </c>
      <c r="C45" s="29">
        <f t="shared" si="46"/>
        <v>45534</v>
      </c>
      <c r="D45" s="6">
        <f t="shared" ca="1" si="1"/>
        <v>-243</v>
      </c>
      <c r="E45" s="90" t="str">
        <f>IF(B45=0,"","Friday")</f>
        <v>Friday</v>
      </c>
      <c r="F45" s="45"/>
      <c r="G45" s="46"/>
      <c r="H45" s="46"/>
      <c r="I45" s="151"/>
      <c r="J45" s="46"/>
      <c r="K45" s="152" t="str">
        <f t="shared" si="42"/>
        <v/>
      </c>
      <c r="L45" s="46"/>
      <c r="M45" s="46" t="str">
        <f t="shared" si="47"/>
        <v/>
      </c>
      <c r="N45" s="301"/>
      <c r="O45" s="171">
        <f t="shared" si="3"/>
        <v>2682.3399967813116</v>
      </c>
      <c r="P45" s="172">
        <f t="shared" si="43"/>
        <v>83150.359987125252</v>
      </c>
      <c r="Q45" s="128">
        <f t="shared" si="4"/>
        <v>83150.359987125252</v>
      </c>
      <c r="R45" s="128">
        <f t="shared" si="48"/>
        <v>0</v>
      </c>
      <c r="S45" s="195" t="str">
        <f t="shared" si="12"/>
        <v/>
      </c>
      <c r="T45" s="128"/>
      <c r="U45" s="128"/>
      <c r="V45" s="129" t="str">
        <f t="shared" si="44"/>
        <v/>
      </c>
      <c r="W45" s="129" t="str">
        <f t="shared" si="45"/>
        <v/>
      </c>
      <c r="X45" s="171">
        <f t="shared" si="49"/>
        <v>0</v>
      </c>
      <c r="Y45" s="171">
        <f t="shared" si="49"/>
        <v>0</v>
      </c>
      <c r="Z45" s="171">
        <f t="shared" si="49"/>
        <v>0</v>
      </c>
      <c r="AA45" s="186">
        <f t="shared" si="8"/>
        <v>0</v>
      </c>
      <c r="AB45" s="173">
        <f t="shared" si="13"/>
        <v>0</v>
      </c>
      <c r="AC45" s="76"/>
      <c r="AD45" s="76"/>
      <c r="AE45" s="76"/>
      <c r="AF45" s="76"/>
    </row>
    <row r="46" spans="1:32">
      <c r="A46" s="1"/>
      <c r="B46" s="4">
        <f t="shared" si="41"/>
        <v>45535</v>
      </c>
      <c r="C46" s="29">
        <f t="shared" si="46"/>
        <v>45535</v>
      </c>
      <c r="D46" s="6">
        <f t="shared" ca="1" si="1"/>
        <v>-244</v>
      </c>
      <c r="E46" s="90" t="str">
        <f>IF(B46=0,"","Saturday")</f>
        <v>Saturday</v>
      </c>
      <c r="F46" s="45"/>
      <c r="G46" s="46"/>
      <c r="H46" s="46"/>
      <c r="I46" s="151"/>
      <c r="J46" s="46"/>
      <c r="K46" s="152" t="str">
        <f t="shared" si="42"/>
        <v/>
      </c>
      <c r="L46" s="46"/>
      <c r="M46" s="46" t="str">
        <f t="shared" si="47"/>
        <v/>
      </c>
      <c r="N46" s="301"/>
      <c r="O46" s="171">
        <f t="shared" si="3"/>
        <v>2682.3399967813116</v>
      </c>
      <c r="P46" s="172">
        <f t="shared" si="43"/>
        <v>83150.359987125252</v>
      </c>
      <c r="Q46" s="128">
        <f t="shared" si="4"/>
        <v>83150.359987125252</v>
      </c>
      <c r="R46" s="128">
        <f t="shared" si="48"/>
        <v>0</v>
      </c>
      <c r="S46" s="195" t="str">
        <f t="shared" si="12"/>
        <v/>
      </c>
      <c r="T46" s="128"/>
      <c r="U46" s="128"/>
      <c r="V46" s="129" t="str">
        <f t="shared" si="44"/>
        <v/>
      </c>
      <c r="W46" s="129" t="str">
        <f t="shared" si="45"/>
        <v/>
      </c>
      <c r="X46" s="171">
        <f t="shared" si="49"/>
        <v>0</v>
      </c>
      <c r="Y46" s="171">
        <f t="shared" si="49"/>
        <v>0</v>
      </c>
      <c r="Z46" s="171">
        <f t="shared" si="49"/>
        <v>0</v>
      </c>
      <c r="AA46" s="186">
        <f t="shared" si="8"/>
        <v>0</v>
      </c>
      <c r="AB46" s="173">
        <f t="shared" si="13"/>
        <v>0</v>
      </c>
      <c r="AC46" s="76"/>
      <c r="AD46" s="76"/>
      <c r="AE46" s="76"/>
      <c r="AF46" s="76"/>
    </row>
    <row r="47" spans="1:32" ht="17" thickBot="1">
      <c r="A47" s="1"/>
      <c r="B47" s="43">
        <f t="shared" si="41"/>
        <v>0</v>
      </c>
      <c r="C47" s="32">
        <f t="shared" si="46"/>
        <v>45536</v>
      </c>
      <c r="D47" s="44">
        <f t="shared" ca="1" si="1"/>
        <v>-245</v>
      </c>
      <c r="E47" s="93" t="str">
        <f>IF(B47=0,"","Sunday")</f>
        <v/>
      </c>
      <c r="F47" s="45"/>
      <c r="G47" s="46"/>
      <c r="H47" s="46"/>
      <c r="I47" s="151"/>
      <c r="J47" s="46"/>
      <c r="K47" s="152" t="str">
        <f t="shared" si="42"/>
        <v/>
      </c>
      <c r="L47" s="46"/>
      <c r="M47" s="46" t="str">
        <f t="shared" si="47"/>
        <v/>
      </c>
      <c r="N47" s="302"/>
      <c r="O47" s="171" t="str">
        <f t="shared" si="3"/>
        <v/>
      </c>
      <c r="P47" s="172">
        <f t="shared" si="43"/>
        <v>83150.359987125252</v>
      </c>
      <c r="Q47" s="128">
        <f t="shared" si="4"/>
        <v>83150.359987125252</v>
      </c>
      <c r="R47" s="128">
        <f t="shared" si="48"/>
        <v>0</v>
      </c>
      <c r="S47" s="195" t="str">
        <f t="shared" si="12"/>
        <v/>
      </c>
      <c r="T47" s="128"/>
      <c r="U47" s="128"/>
      <c r="V47" s="129" t="str">
        <f t="shared" si="44"/>
        <v/>
      </c>
      <c r="W47" s="129" t="str">
        <f t="shared" si="45"/>
        <v/>
      </c>
      <c r="X47" s="171">
        <f t="shared" si="49"/>
        <v>0</v>
      </c>
      <c r="Y47" s="171">
        <f t="shared" si="49"/>
        <v>0</v>
      </c>
      <c r="Z47" s="171">
        <f t="shared" si="49"/>
        <v>0</v>
      </c>
      <c r="AA47" s="186">
        <f t="shared" si="8"/>
        <v>0</v>
      </c>
      <c r="AB47" s="173">
        <f t="shared" si="13"/>
        <v>0</v>
      </c>
      <c r="AC47" s="76"/>
      <c r="AD47" s="76"/>
      <c r="AE47" s="76"/>
      <c r="AF47" s="76"/>
    </row>
    <row r="48" spans="1:32" ht="17" customHeight="1" thickTop="1">
      <c r="A48" s="25"/>
      <c r="B48" s="12"/>
      <c r="C48" s="33"/>
      <c r="D48" s="50">
        <f ca="1">TODAY()-C48</f>
        <v>45291</v>
      </c>
      <c r="E48" s="89" t="s">
        <v>65</v>
      </c>
      <c r="F48" s="49">
        <f ca="1">G48*0.000568181818</f>
        <v>-1.2427401132386871E-58</v>
      </c>
      <c r="G48" s="15">
        <f ca="1">H48*1.0936113</f>
        <v>-2.1872226000000002E-55</v>
      </c>
      <c r="H48" s="16">
        <f ca="1">IF(SUM(B41:B47)=0,-1E-55,IF(TODAY()&gt;=B$41,(AA47-AA38)*1000,-2E-55))</f>
        <v>-2E-55</v>
      </c>
      <c r="I48" s="119"/>
      <c r="J48" s="491" t="s">
        <v>437</v>
      </c>
      <c r="K48" s="492"/>
      <c r="L48" s="492"/>
      <c r="M48" s="245"/>
      <c r="N48" s="269" t="str">
        <f>IF(R$2=1,"MILES",IF(R$2=2,"YARDS",IF(R$2=3,"METRES","????")))</f>
        <v>METRES</v>
      </c>
      <c r="O48" s="171" t="str">
        <f t="shared" si="3"/>
        <v/>
      </c>
      <c r="P48" s="79"/>
      <c r="Q48" s="128">
        <f t="shared" si="4"/>
        <v>0</v>
      </c>
      <c r="R48" s="188"/>
      <c r="S48" s="195" t="str">
        <f t="shared" si="12"/>
        <v/>
      </c>
      <c r="T48" s="188"/>
      <c r="U48" s="188"/>
      <c r="V48" s="188"/>
      <c r="W48" s="188"/>
      <c r="X48" s="171"/>
      <c r="Y48" s="171" t="str">
        <f>IF(A48=0,"",G48+Y36)</f>
        <v/>
      </c>
      <c r="Z48" s="171" t="str">
        <f>IF(B48=0,"",H48+Z36)</f>
        <v/>
      </c>
      <c r="AA48" s="186"/>
      <c r="AB48" s="173">
        <f t="shared" si="13"/>
        <v>0</v>
      </c>
      <c r="AC48" s="76"/>
      <c r="AD48" s="76"/>
      <c r="AE48" s="76"/>
      <c r="AF48" s="76"/>
    </row>
    <row r="49" spans="1:32" ht="17" thickBot="1">
      <c r="A49" s="24"/>
      <c r="B49" s="13"/>
      <c r="C49" s="30"/>
      <c r="D49" s="51">
        <f ca="1">TODAY()-C49</f>
        <v>45291</v>
      </c>
      <c r="E49" s="92" t="s">
        <v>27</v>
      </c>
      <c r="F49" s="52">
        <f>G49*0.0005681818</f>
        <v>10.000329374421268</v>
      </c>
      <c r="G49" s="53">
        <f>H49*1.0936113</f>
        <v>17600.580262200001</v>
      </c>
      <c r="H49" s="5">
        <f>INT(SUM($O41:$O47))</f>
        <v>16094</v>
      </c>
      <c r="I49" s="120"/>
      <c r="J49" s="493"/>
      <c r="K49" s="494"/>
      <c r="L49" s="494"/>
      <c r="M49" s="246"/>
      <c r="N49" s="270" t="str">
        <f>IF(R$2=1,"MILES",IF(R$2=2,"YARDS",IF(R$2=3,"METRES","????")))</f>
        <v>METRES</v>
      </c>
      <c r="O49" s="171" t="str">
        <f t="shared" si="3"/>
        <v/>
      </c>
      <c r="P49" s="95"/>
      <c r="Q49" s="128">
        <f t="shared" si="4"/>
        <v>0</v>
      </c>
      <c r="R49" s="189"/>
      <c r="S49" s="195" t="str">
        <f t="shared" si="12"/>
        <v/>
      </c>
      <c r="T49" s="189"/>
      <c r="U49" s="189"/>
      <c r="V49" s="189"/>
      <c r="W49" s="189"/>
      <c r="X49" s="171"/>
      <c r="Y49" s="171" t="str">
        <f>IF(A49=0,"",G49+Y37)</f>
        <v/>
      </c>
      <c r="Z49" s="171" t="str">
        <f>IF(B49=0,"",H49+Z37)</f>
        <v/>
      </c>
      <c r="AA49" s="186"/>
      <c r="AB49" s="173">
        <f t="shared" si="13"/>
        <v>0</v>
      </c>
      <c r="AC49" s="77"/>
      <c r="AD49" s="77"/>
      <c r="AE49" s="77"/>
      <c r="AF49" s="76"/>
    </row>
    <row r="50" spans="1:32" ht="17" thickTop="1">
      <c r="A50" s="1"/>
      <c r="B50" s="47">
        <f>IF(B$3&lt;C50,0,C50)</f>
        <v>0</v>
      </c>
      <c r="C50" s="31">
        <f>C47+1</f>
        <v>45537</v>
      </c>
      <c r="D50" s="18">
        <f t="shared" ca="1" si="1"/>
        <v>-246</v>
      </c>
      <c r="E50" s="94" t="str">
        <f>IF(B50=0,"","Monday")</f>
        <v/>
      </c>
      <c r="F50" s="45"/>
      <c r="G50" s="46"/>
      <c r="H50" s="46"/>
      <c r="I50" s="151"/>
      <c r="J50" s="101"/>
      <c r="K50" s="152" t="str">
        <f>IF(R50=0,"",IF(L50="","",J50))</f>
        <v/>
      </c>
      <c r="L50" s="101"/>
      <c r="M50" s="46" t="str">
        <f>IF(R50=0,"",IF(J50="","",L50))</f>
        <v/>
      </c>
      <c r="N50" s="304"/>
      <c r="O50" s="171" t="str">
        <f t="shared" si="3"/>
        <v/>
      </c>
      <c r="P50" s="172">
        <f>H$56</f>
        <v>83150.359987125252</v>
      </c>
      <c r="Q50" s="128">
        <f t="shared" si="4"/>
        <v>83150.359987125252</v>
      </c>
      <c r="R50" s="128">
        <f>IF(R$2=3,H50+G50/1.0936133+F50/0.0006213712,IF(R$2=2,H50*1.0936133+G50+F50/0.0005681818,IF(R$2=1,H50*0.0005681818*1.0936133+G50*0.0005681818+F50,"")))</f>
        <v>0</v>
      </c>
      <c r="S50" s="195" t="str">
        <f t="shared" si="12"/>
        <v/>
      </c>
      <c r="T50" s="128"/>
      <c r="U50" s="128"/>
      <c r="V50" s="129" t="str">
        <f>IF(L50="","",IF(R50=0,"",IF(B50=0,"",IF($R$2=3,R50/L50*60/1000,IF($R$2=2,R50/L50*60/1760,IF($R$2=1,R50/L50*60,""))))))</f>
        <v/>
      </c>
      <c r="W50" s="129" t="str">
        <f>IF(R50=0,"",IF(L50="","",V50*L50))</f>
        <v/>
      </c>
      <c r="X50" s="171">
        <f>F50+X47</f>
        <v>0</v>
      </c>
      <c r="Y50" s="171">
        <f>G50+Y47</f>
        <v>0</v>
      </c>
      <c r="Z50" s="171">
        <f>H50+Z47</f>
        <v>0</v>
      </c>
      <c r="AA50" s="186">
        <f t="shared" si="8"/>
        <v>0</v>
      </c>
      <c r="AB50" s="173">
        <f t="shared" si="13"/>
        <v>0</v>
      </c>
      <c r="AC50" s="76"/>
      <c r="AD50" s="76"/>
      <c r="AE50" s="76"/>
      <c r="AF50" s="76"/>
    </row>
    <row r="51" spans="1:32" ht="17" thickBot="1">
      <c r="A51" s="1"/>
      <c r="B51" s="4">
        <f>IF(B$3&lt;C51,0,C51)</f>
        <v>0</v>
      </c>
      <c r="C51" s="29">
        <f>C50+1</f>
        <v>45538</v>
      </c>
      <c r="D51" s="6">
        <f t="shared" ca="1" si="1"/>
        <v>-247</v>
      </c>
      <c r="E51" s="90" t="str">
        <f>IF(B51=0,"","Tuesday")</f>
        <v/>
      </c>
      <c r="F51" s="45"/>
      <c r="G51" s="46"/>
      <c r="H51" s="46"/>
      <c r="I51" s="151"/>
      <c r="J51" s="46"/>
      <c r="K51" s="152" t="str">
        <f>IF(R51=0,"",IF(L51="","",J51))</f>
        <v/>
      </c>
      <c r="L51" s="46"/>
      <c r="M51" s="46" t="str">
        <f>IF(R51=0,"",IF(J51="","",L51))</f>
        <v/>
      </c>
      <c r="N51" s="302"/>
      <c r="O51" s="171" t="str">
        <f t="shared" si="3"/>
        <v/>
      </c>
      <c r="P51" s="172">
        <f>H$56</f>
        <v>83150.359987125252</v>
      </c>
      <c r="Q51" s="128">
        <f t="shared" si="4"/>
        <v>83150.359987125252</v>
      </c>
      <c r="R51" s="128">
        <f>IF(R$2=3,H51+G51/1.0936133+F51/0.0006213712,IF(R$2=2,H51*1.0936133+G51+F51/0.0005681818,IF(R$2=1,H51*0.0005681818*1.0936133+G51*0.0005681818+F51,"")))</f>
        <v>0</v>
      </c>
      <c r="S51" s="195" t="str">
        <f t="shared" si="12"/>
        <v/>
      </c>
      <c r="T51" s="128"/>
      <c r="U51" s="128"/>
      <c r="V51" s="129" t="str">
        <f>IF(L51="","",IF(R51=0,"",IF(B51=0,"",IF($R$2=3,R51/L51*60/1000,IF($R$2=2,R51/L51*60/1760,IF($R$2=1,R51/L51*60,""))))))</f>
        <v/>
      </c>
      <c r="W51" s="129" t="str">
        <f>IF(R51=0,"",IF(L51="","",V51*L51))</f>
        <v/>
      </c>
      <c r="X51" s="171">
        <f>F51+X50</f>
        <v>0</v>
      </c>
      <c r="Y51" s="171">
        <f>G51+Y50</f>
        <v>0</v>
      </c>
      <c r="Z51" s="171">
        <f>H51+Z50</f>
        <v>0</v>
      </c>
      <c r="AA51" s="186">
        <f t="shared" si="8"/>
        <v>0</v>
      </c>
      <c r="AB51" s="173">
        <f t="shared" si="13"/>
        <v>0</v>
      </c>
      <c r="AC51" s="76"/>
      <c r="AD51" s="76"/>
      <c r="AE51" s="76"/>
      <c r="AF51" s="76"/>
    </row>
    <row r="52" spans="1:32" ht="18" thickTop="1" thickBot="1">
      <c r="A52" s="25"/>
      <c r="B52" s="12"/>
      <c r="C52" s="33"/>
      <c r="D52" s="50"/>
      <c r="E52" s="89" t="s">
        <v>65</v>
      </c>
      <c r="F52" s="49">
        <f ca="1">G52*0.000568181818</f>
        <v>-6.2137005661934355E-59</v>
      </c>
      <c r="G52" s="15">
        <f ca="1">H52*1.0936113</f>
        <v>-1.0936113000000001E-55</v>
      </c>
      <c r="H52" s="102">
        <f ca="1">IF(SUM(B50:B51)=0,-1E-55,IF(TODAY()&gt;=B50,(AA51-AA47)*1000,-2E-55))</f>
        <v>-9.9999999999999999E-56</v>
      </c>
      <c r="I52" s="250"/>
      <c r="J52" s="495" t="s">
        <v>93</v>
      </c>
      <c r="K52" s="496"/>
      <c r="L52" s="496"/>
      <c r="M52" s="253"/>
      <c r="N52" s="254" t="str">
        <f>IF(R$2=1,"Distance (miles)",IF(R$2=2,"Distance (yds)",IF(R$2=3,"Distance (km)","????")))</f>
        <v>Distance (km)</v>
      </c>
      <c r="O52" s="171"/>
      <c r="P52" s="95" t="s">
        <v>1</v>
      </c>
      <c r="Q52" s="95" t="s">
        <v>2</v>
      </c>
      <c r="R52" s="95" t="s">
        <v>3</v>
      </c>
      <c r="S52" s="95" t="s">
        <v>4</v>
      </c>
      <c r="T52" s="95" t="s">
        <v>5</v>
      </c>
      <c r="U52" s="95" t="s">
        <v>6</v>
      </c>
      <c r="V52" s="95" t="s">
        <v>7</v>
      </c>
      <c r="W52" s="171"/>
      <c r="X52" s="171"/>
      <c r="Y52" s="171"/>
      <c r="Z52" s="186"/>
      <c r="AA52" s="173"/>
      <c r="AB52" s="79"/>
      <c r="AC52" s="76"/>
      <c r="AD52" s="76"/>
      <c r="AE52" s="76"/>
      <c r="AF52" s="76"/>
    </row>
    <row r="53" spans="1:32" ht="17" thickBot="1">
      <c r="A53" s="24"/>
      <c r="B53" s="13"/>
      <c r="C53" s="30"/>
      <c r="D53" s="51"/>
      <c r="E53" s="92" t="s">
        <v>27</v>
      </c>
      <c r="F53" s="52">
        <f>G53*0.0005681818</f>
        <v>-6.2137003693434006E-59</v>
      </c>
      <c r="G53" s="53">
        <f>H53*1.0936113</f>
        <v>-1.0936113000000001E-55</v>
      </c>
      <c r="H53" s="104">
        <f>IF(SUM($O50:$O51)=0,-1E-55,SUM($O50:$O51))</f>
        <v>-9.9999999999999999E-56</v>
      </c>
      <c r="I53" s="120"/>
      <c r="J53" s="255" t="str">
        <f>'MY STATS'!AF47</f>
        <v>OW</v>
      </c>
      <c r="K53" s="125" t="str">
        <f>IF(J53="","x",J53)</f>
        <v>OW</v>
      </c>
      <c r="L53" s="153">
        <f>IF(J53="","",SUMIF(K$5:K$51,K53,M$5:M$51)/1440)</f>
        <v>0</v>
      </c>
      <c r="M53" s="154">
        <f>IF(J53="","",IF('MY STATS'!$A$16=3,SUMIF(K$5:K$51,J53,R$5:R$51)/1000,SUMIF(K$5:K$51,J53,R$5:R$51)))</f>
        <v>0</v>
      </c>
      <c r="N53" s="256">
        <f>IF(J53="","",IF('MY STATS'!$A$16=3,SUMIF(J$5:J$51,J53,R$5:R$51)/1000,SUMIF(J$5:J$51,J53,R$5:R$51)))</f>
        <v>0</v>
      </c>
      <c r="O53" s="190" t="s">
        <v>48</v>
      </c>
      <c r="P53" s="95">
        <f t="shared" ref="P53:V53" si="50">COUNTIFS($E$5:$E$51,P52)</f>
        <v>4</v>
      </c>
      <c r="Q53" s="95">
        <f t="shared" si="50"/>
        <v>4</v>
      </c>
      <c r="R53" s="95">
        <f t="shared" si="50"/>
        <v>4</v>
      </c>
      <c r="S53" s="95">
        <f t="shared" si="50"/>
        <v>5</v>
      </c>
      <c r="T53" s="95">
        <f t="shared" si="50"/>
        <v>5</v>
      </c>
      <c r="U53" s="95">
        <f t="shared" si="50"/>
        <v>5</v>
      </c>
      <c r="V53" s="95">
        <f t="shared" si="50"/>
        <v>4</v>
      </c>
      <c r="W53" s="171"/>
      <c r="X53" s="171"/>
      <c r="Y53" s="171"/>
      <c r="Z53" s="186"/>
      <c r="AA53" s="173"/>
      <c r="AB53" s="79"/>
      <c r="AC53" s="130"/>
      <c r="AD53" s="130"/>
      <c r="AE53" s="76"/>
      <c r="AF53" s="76"/>
    </row>
    <row r="54" spans="1:32" ht="18" thickTop="1" thickBot="1">
      <c r="A54" s="10"/>
      <c r="B54" s="10"/>
      <c r="C54" s="10"/>
      <c r="D54" s="10"/>
      <c r="E54" s="10"/>
      <c r="F54" s="10" t="s">
        <v>28</v>
      </c>
      <c r="G54" s="10" t="s">
        <v>29</v>
      </c>
      <c r="H54" s="10" t="s">
        <v>31</v>
      </c>
      <c r="I54" s="119"/>
      <c r="J54" s="257" t="str">
        <f>'MY STATS'!AG47</f>
        <v>pool1</v>
      </c>
      <c r="K54" s="126" t="str">
        <f t="shared" ref="K54:K59" si="51">IF(J54="","x",J54)</f>
        <v>pool1</v>
      </c>
      <c r="L54" s="155">
        <f>IF(J54="","",SUMIF(K$5:K$51,K54,M$5:M$51)/1440)</f>
        <v>0</v>
      </c>
      <c r="M54" s="156">
        <f>IF(J54="","",IF('MY STATS'!$A$16=3,SUMIF(K$5:K$51,J54,R$5:R$51)/1000,SUMIF(K$5:K$51,J54,R$5:R$51)))</f>
        <v>0</v>
      </c>
      <c r="N54" s="258">
        <f>IF(J54="","",IF('MY STATS'!$A$16=3,SUMIF(J$5:J$51,J54,R$5:R$51)/1000,SUMIF(J$5:J$51,J54,R$5:R$51)))</f>
        <v>0</v>
      </c>
      <c r="O54" s="190" t="s">
        <v>47</v>
      </c>
      <c r="P54" s="95">
        <f t="shared" ref="P54:V54" ca="1" si="52">COUNTIFS($D$5:$D$51,"&gt;-1",$E$5:$E$51,P52)</f>
        <v>0</v>
      </c>
      <c r="Q54" s="95">
        <f t="shared" ca="1" si="52"/>
        <v>0</v>
      </c>
      <c r="R54" s="95">
        <f t="shared" ca="1" si="52"/>
        <v>0</v>
      </c>
      <c r="S54" s="95">
        <f t="shared" ca="1" si="52"/>
        <v>0</v>
      </c>
      <c r="T54" s="95">
        <f t="shared" ca="1" si="52"/>
        <v>0</v>
      </c>
      <c r="U54" s="95">
        <f t="shared" ca="1" si="52"/>
        <v>0</v>
      </c>
      <c r="V54" s="95">
        <f t="shared" ca="1" si="52"/>
        <v>0</v>
      </c>
      <c r="W54" s="171"/>
      <c r="X54" s="171"/>
      <c r="Y54" s="171"/>
      <c r="Z54" s="186"/>
      <c r="AA54" s="173"/>
      <c r="AB54" s="79"/>
      <c r="AC54" s="76"/>
      <c r="AD54" s="76"/>
      <c r="AE54" s="76"/>
      <c r="AF54" s="76"/>
    </row>
    <row r="55" spans="1:32" ht="17" thickTop="1">
      <c r="A55" s="26"/>
      <c r="B55" s="48"/>
      <c r="C55" s="34"/>
      <c r="D55" s="34"/>
      <c r="E55" s="14" t="s">
        <v>30</v>
      </c>
      <c r="F55" s="69">
        <f>G55*0.000568181818</f>
        <v>0</v>
      </c>
      <c r="G55" s="70">
        <f>H55*1.0936113</f>
        <v>0</v>
      </c>
      <c r="H55" s="105">
        <f>AA$51*1000</f>
        <v>0</v>
      </c>
      <c r="I55" s="251"/>
      <c r="J55" s="257" t="str">
        <f>'MY STATS'!AH47</f>
        <v>pool2</v>
      </c>
      <c r="K55" s="126" t="str">
        <f t="shared" si="51"/>
        <v>pool2</v>
      </c>
      <c r="L55" s="155">
        <f>IF(J55="","",SUMIF(K$5:K$51,K55,M$5:M$51)/1440)</f>
        <v>0</v>
      </c>
      <c r="M55" s="156">
        <f>IF(J55="","",IF('MY STATS'!$A$16=3,SUMIF(K$5:K$51,J55,R$5:R$51)/1000,SUMIF(K$5:K$51,J55,R$5:R$51)))</f>
        <v>0</v>
      </c>
      <c r="N55" s="258">
        <f>IF(J55="","",IF('MY STATS'!$A$16=3,SUMIF(J$5:J$51,J55,R$5:R$51)/1000,SUMIF(J$5:J$51,J55,R$5:R$51)))</f>
        <v>0</v>
      </c>
      <c r="O55" s="190" t="s">
        <v>66</v>
      </c>
      <c r="P55" s="95">
        <f t="shared" ref="P55:V55" si="53">COUNTIFS($E$5:$E$51,P52,$R$5:$R$51,"&gt;0")</f>
        <v>0</v>
      </c>
      <c r="Q55" s="95">
        <f t="shared" si="53"/>
        <v>0</v>
      </c>
      <c r="R55" s="95">
        <f t="shared" si="53"/>
        <v>0</v>
      </c>
      <c r="S55" s="95">
        <f t="shared" si="53"/>
        <v>0</v>
      </c>
      <c r="T55" s="95">
        <f t="shared" si="53"/>
        <v>0</v>
      </c>
      <c r="U55" s="95">
        <f t="shared" si="53"/>
        <v>0</v>
      </c>
      <c r="V55" s="95">
        <f t="shared" si="53"/>
        <v>0</v>
      </c>
      <c r="W55" s="171"/>
      <c r="X55" s="171"/>
      <c r="Y55" s="171"/>
      <c r="Z55" s="186"/>
      <c r="AA55" s="173"/>
      <c r="AB55" s="79"/>
      <c r="AC55" s="76"/>
      <c r="AD55" s="76"/>
      <c r="AE55" s="76"/>
      <c r="AF55" s="76"/>
    </row>
    <row r="56" spans="1:32" ht="17" thickBot="1">
      <c r="A56" s="27"/>
      <c r="B56" s="35"/>
      <c r="C56" s="35"/>
      <c r="D56" s="35"/>
      <c r="E56" s="17" t="s">
        <v>41</v>
      </c>
      <c r="F56" s="37">
        <f>G56*0.000568181818</f>
        <v>51.667143893118812</v>
      </c>
      <c r="G56" s="38">
        <f>H56*1.0936113</f>
        <v>90934.173280988034</v>
      </c>
      <c r="H56" s="106">
        <f>SUM(H$53,H40,H31,H22,H49,H13)-1</f>
        <v>83150.359987125252</v>
      </c>
      <c r="I56" s="252"/>
      <c r="J56" s="257" t="str">
        <f>'MY STATS'!AI47</f>
        <v/>
      </c>
      <c r="K56" s="126" t="str">
        <f t="shared" si="51"/>
        <v>x</v>
      </c>
      <c r="L56" s="155" t="str">
        <f>IF(J56="","",SUMIF(K$5:K$51,K56,M$5:M$51)/1440)</f>
        <v/>
      </c>
      <c r="M56" s="156" t="str">
        <f>IF(J56="","",IF('MY STATS'!$A$16=3,SUMIF(K$5:K$51,J56,R$5:R$51)/1000,SUMIF(K$5:K$51,J56,R$5:R$51)))</f>
        <v/>
      </c>
      <c r="N56" s="258" t="str">
        <f>IF(J56="","",IF('MY STATS'!$A$16=3,SUMIF(J$5:J$51,J56,R$5:R$51)/1000,SUMIF(J$5:J$51,J56,R$5:R$51)))</f>
        <v/>
      </c>
      <c r="O56" s="190" t="s">
        <v>106</v>
      </c>
      <c r="P56" s="95"/>
      <c r="Q56" s="95"/>
      <c r="R56" s="95"/>
      <c r="S56" s="95"/>
      <c r="T56" s="95"/>
      <c r="U56" s="95"/>
      <c r="V56" s="95"/>
      <c r="W56" s="171"/>
      <c r="X56" s="171"/>
      <c r="Y56" s="171"/>
      <c r="Z56" s="186"/>
      <c r="AA56" s="173"/>
      <c r="AB56" s="79"/>
      <c r="AC56" s="76"/>
      <c r="AD56" s="76"/>
      <c r="AE56" s="76"/>
      <c r="AF56" s="276"/>
    </row>
    <row r="57" spans="1:32" ht="18" thickTop="1" thickBot="1">
      <c r="A57" s="39"/>
      <c r="B57" s="39"/>
      <c r="C57" s="39"/>
      <c r="D57" s="39"/>
      <c r="E57" s="39"/>
      <c r="F57" s="39"/>
      <c r="G57" s="39"/>
      <c r="H57" s="39"/>
      <c r="I57" s="120"/>
      <c r="J57" s="257" t="str">
        <f>'MY STATS'!AJ47</f>
        <v/>
      </c>
      <c r="K57" s="126" t="str">
        <f>IF(J57="","x",J57)</f>
        <v>x</v>
      </c>
      <c r="L57" s="155" t="str">
        <f>IF(J57="","",SUMIF(K$5:K$51,K57,M$5:M$51)/1440)</f>
        <v/>
      </c>
      <c r="M57" s="156" t="str">
        <f>IF(J57="","",IF('MY STATS'!$A$16=3,SUMIF(K$5:K$51,J57,R$5:R$51)/1000,SUMIF(K$5:K$51,J57,R$5:R$51)))</f>
        <v/>
      </c>
      <c r="N57" s="258" t="str">
        <f>IF(J57="","",IF('MY STATS'!$A$16=3,SUMIF(J$5:J$51,J57,R$5:R$51)/1000,SUMIF(J$5:J$51,J57,R$5:R$51)))</f>
        <v/>
      </c>
      <c r="O57" s="190" t="s">
        <v>97</v>
      </c>
      <c r="P57" s="172">
        <f t="shared" ref="P57:V57" si="54">SUMIF($E$5:$E$51,P52,$S$5:$S$51)</f>
        <v>0</v>
      </c>
      <c r="Q57" s="172">
        <f t="shared" si="54"/>
        <v>0</v>
      </c>
      <c r="R57" s="172">
        <f t="shared" si="54"/>
        <v>0</v>
      </c>
      <c r="S57" s="172">
        <f t="shared" si="54"/>
        <v>0</v>
      </c>
      <c r="T57" s="172">
        <f t="shared" si="54"/>
        <v>0</v>
      </c>
      <c r="U57" s="172">
        <f t="shared" si="54"/>
        <v>0</v>
      </c>
      <c r="V57" s="172">
        <f t="shared" si="54"/>
        <v>0</v>
      </c>
      <c r="W57" s="79"/>
      <c r="X57" s="79"/>
      <c r="Y57" s="79"/>
      <c r="Z57" s="95"/>
      <c r="AA57" s="79"/>
      <c r="AB57" s="79"/>
      <c r="AC57" s="76"/>
      <c r="AD57" s="76"/>
      <c r="AE57" s="76"/>
      <c r="AF57" s="76"/>
    </row>
    <row r="58" spans="1:32" ht="18" thickTop="1" thickBot="1">
      <c r="A58" s="63">
        <f>A1</f>
        <v>8</v>
      </c>
      <c r="B58" s="64"/>
      <c r="C58" s="65"/>
      <c r="D58" s="57"/>
      <c r="E58" s="58" t="s">
        <v>70</v>
      </c>
      <c r="F58" s="71">
        <f>G58*0.000568181818</f>
        <v>0</v>
      </c>
      <c r="G58" s="72">
        <f>H58*1.0936113</f>
        <v>0</v>
      </c>
      <c r="H58" s="73">
        <f>H$55+G$3</f>
        <v>0</v>
      </c>
      <c r="I58" s="120"/>
      <c r="J58" s="259" t="s">
        <v>89</v>
      </c>
      <c r="K58" s="127"/>
      <c r="L58" s="157">
        <f>L59-SUM(L53:L57)</f>
        <v>0</v>
      </c>
      <c r="M58" s="158">
        <f>(M59-SUM(M53:M57))</f>
        <v>0</v>
      </c>
      <c r="N58" s="260">
        <f>(N59-SUM(N53:N57))</f>
        <v>0</v>
      </c>
      <c r="O58" s="190" t="s">
        <v>98</v>
      </c>
      <c r="P58" s="191">
        <f>IF(COUNTIFS($E$5:$E$51,P52,$L$5:$L$51,"&gt;0")=0,0,(SUMIF($E$5:$E$51,P52,$L$5:$L$51)+IF(SUMIF($E$5:$E$51,P52,$R$5:$R$51)=0,-SUMIF($E$5:$E$51,P52,$L$5:$L$51)))/60)</f>
        <v>0</v>
      </c>
      <c r="Q58" s="191">
        <f t="shared" ref="Q58:V58" si="55">IF(COUNTIFS($E$5:$E$51,Q52,$L$5:$L$51,"&gt;0")=0,0,(SUMIF($E$5:$E$51,Q52,$L$5:$L$51)+IF(SUMIF($E$5:$E$51,Q52,$R$5:$R$51)=0,-SUMIF($E$5:$E$51,Q52,$L$5:$L$51)))/60)</f>
        <v>0</v>
      </c>
      <c r="R58" s="191">
        <f t="shared" si="55"/>
        <v>0</v>
      </c>
      <c r="S58" s="191">
        <f t="shared" si="55"/>
        <v>0</v>
      </c>
      <c r="T58" s="191">
        <f t="shared" si="55"/>
        <v>0</v>
      </c>
      <c r="U58" s="191">
        <f t="shared" si="55"/>
        <v>0</v>
      </c>
      <c r="V58" s="191">
        <f t="shared" si="55"/>
        <v>0</v>
      </c>
      <c r="W58" s="79"/>
      <c r="X58" s="79"/>
      <c r="Y58" s="79"/>
      <c r="Z58" s="95"/>
      <c r="AA58" s="79"/>
      <c r="AB58" s="79"/>
      <c r="AC58" s="76"/>
      <c r="AD58" s="76"/>
      <c r="AE58" s="76"/>
      <c r="AF58" s="76"/>
    </row>
    <row r="59" spans="1:32" ht="18" thickTop="1" thickBot="1">
      <c r="A59" s="66">
        <f>A1</f>
        <v>8</v>
      </c>
      <c r="B59" s="67"/>
      <c r="C59" s="68"/>
      <c r="D59" s="59"/>
      <c r="E59" s="60" t="s">
        <v>52</v>
      </c>
      <c r="F59" s="61">
        <f>G59*0.000568181818</f>
        <v>169.99968910400048</v>
      </c>
      <c r="G59" s="62">
        <f>H59*1.0936113</f>
        <v>299199.45291878463</v>
      </c>
      <c r="H59" s="107">
        <f>VLOOKUP($A$1,'MY STATS'!B$32:K$43,10)</f>
        <v>273588.47967169381</v>
      </c>
      <c r="I59" s="251"/>
      <c r="J59" s="261" t="s">
        <v>57</v>
      </c>
      <c r="K59" s="262" t="str">
        <f t="shared" si="51"/>
        <v>total</v>
      </c>
      <c r="L59" s="263">
        <f>(SUM(L5:L51)-L40)/1440</f>
        <v>0</v>
      </c>
      <c r="M59" s="264">
        <f>IF('MY STATS'!$A$16=3,SUM(R5:R51)/1000,SUM(R5:R51))</f>
        <v>0</v>
      </c>
      <c r="N59" s="265">
        <f>IF('MY STATS'!$A$16=3,SUM(R5:R51)/1000,SUM(R5:R51))</f>
        <v>0</v>
      </c>
      <c r="O59" s="190" t="s">
        <v>88</v>
      </c>
      <c r="P59" s="167">
        <f>IFERROR(IF('MY STATS'!$A16=1,P57/P58,IF('MY STATS'!$A16=2,P57/1760/P58,IF('MY STATS'!$A16=3,P57/1000/P58,0))),0)</f>
        <v>0</v>
      </c>
      <c r="Q59" s="167">
        <f>IFERROR(IF('MY STATS'!$A16=1,Q57/Q58,IF('MY STATS'!$A16=2,Q57/1760/Q58,IF('MY STATS'!$A16=3,Q57/1000/Q58,0))),0)</f>
        <v>0</v>
      </c>
      <c r="R59" s="167">
        <f>IFERROR(IF('MY STATS'!$A16=1,R57/R58,IF('MY STATS'!$A16=2,R57/1760/R58,IF('MY STATS'!$A16=3,R57/1000/R58,0))),0)</f>
        <v>0</v>
      </c>
      <c r="S59" s="167">
        <f>IFERROR(IF('MY STATS'!$A16=1,S57/S58,IF('MY STATS'!$A16=2,S57/1760/S58,IF('MY STATS'!$A16=3,S57/1000/S58,0))),0)</f>
        <v>0</v>
      </c>
      <c r="T59" s="167">
        <f>IFERROR(IF('MY STATS'!$A16=1,T57/T58,IF('MY STATS'!$A16=2,T57/1760/T58,IF('MY STATS'!$A16=3,T57/1000/T58,0))),0)</f>
        <v>0</v>
      </c>
      <c r="U59" s="167">
        <f>IFERROR(IF('MY STATS'!$A16=1,U57/U58,IF('MY STATS'!$A16=2,U57/1760/U58,IF('MY STATS'!$A16=3,U57/1000/U58,0))),0)</f>
        <v>0</v>
      </c>
      <c r="V59" s="167">
        <f>IFERROR(IF('MY STATS'!$A16=1,V57/V58,IF('MY STATS'!$A16=2,V57/1760/V58,IF('MY STATS'!$A16=3,V57/1000/V58,0))),0)</f>
        <v>0</v>
      </c>
      <c r="W59" s="79"/>
      <c r="X59" s="79"/>
      <c r="Y59" s="79"/>
      <c r="Z59" s="95"/>
      <c r="AA59" s="79"/>
      <c r="AB59" s="79"/>
      <c r="AC59" s="76"/>
      <c r="AD59" s="76"/>
      <c r="AE59" s="76"/>
      <c r="AF59" s="76"/>
    </row>
    <row r="60" spans="1:32" ht="17" thickTop="1"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95"/>
      <c r="AB60" s="79"/>
      <c r="AC60" s="76"/>
      <c r="AD60" s="76"/>
      <c r="AE60" s="76"/>
      <c r="AF60" s="76"/>
    </row>
    <row r="61" spans="1:32"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7"/>
      <c r="AB61" s="76"/>
      <c r="AC61" s="76"/>
      <c r="AD61" s="76"/>
      <c r="AE61" s="76"/>
      <c r="AF61" s="76"/>
    </row>
    <row r="62" spans="1:32" ht="6.75" customHeight="1"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7"/>
      <c r="AB62" s="76"/>
      <c r="AC62" s="76"/>
      <c r="AD62" s="76"/>
      <c r="AE62" s="76"/>
      <c r="AF62" s="76"/>
    </row>
    <row r="63" spans="1:32"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7"/>
      <c r="AB63" s="76"/>
      <c r="AC63" s="76"/>
      <c r="AD63" s="76"/>
      <c r="AE63" s="76"/>
      <c r="AF63" s="76"/>
    </row>
    <row r="64" spans="1:32">
      <c r="O64" s="76"/>
      <c r="P64" s="76"/>
      <c r="Q64" s="76"/>
      <c r="R64" s="76"/>
      <c r="S64" s="76"/>
      <c r="T64" s="76"/>
      <c r="U64" s="76"/>
      <c r="V64" s="76"/>
      <c r="W64" s="76"/>
      <c r="X64" s="77"/>
      <c r="Y64" s="76"/>
      <c r="Z64" s="76"/>
      <c r="AA64" s="76"/>
      <c r="AB64" s="76"/>
      <c r="AC64" s="76"/>
      <c r="AD64" s="76"/>
      <c r="AE64" s="76"/>
      <c r="AF64" s="76"/>
    </row>
    <row r="65" spans="15:31"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7"/>
      <c r="AB65" s="76"/>
      <c r="AC65" s="76"/>
      <c r="AD65" s="76"/>
      <c r="AE65" s="76"/>
    </row>
    <row r="66" spans="15:31" customFormat="1"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7"/>
      <c r="AA66" s="76"/>
      <c r="AB66" s="76"/>
      <c r="AC66" s="76"/>
      <c r="AD66" s="76"/>
      <c r="AE66" s="76"/>
    </row>
  </sheetData>
  <sheetProtection sheet="1" objects="1" scenarios="1" selectLockedCells="1"/>
  <mergeCells count="6">
    <mergeCell ref="J12:L13"/>
    <mergeCell ref="J52:L52"/>
    <mergeCell ref="J21:N22"/>
    <mergeCell ref="J48:L49"/>
    <mergeCell ref="J30:L31"/>
    <mergeCell ref="N30:N31"/>
  </mergeCells>
  <conditionalFormatting sqref="B14:B20 B23:B29 B49:B51 B40:B47 B53 B31:B38 D3 B5:B11">
    <cfRule type="cellIs" dxfId="6410" priority="2923" stopIfTrue="1" operator="notBetween">
      <formula>$B$2</formula>
      <formula>$B$3</formula>
    </cfRule>
  </conditionalFormatting>
  <conditionalFormatting sqref="B14:B20 B23:B29 B49:B51 B40:B47 B53 B31:B38 D3 B5:B11">
    <cfRule type="cellIs" dxfId="6409" priority="2924" operator="greaterThan">
      <formula>$E$3</formula>
    </cfRule>
    <cfRule type="cellIs" dxfId="6408" priority="2925" operator="equal">
      <formula>$E$3</formula>
    </cfRule>
    <cfRule type="cellIs" dxfId="6407" priority="2926" operator="lessThan">
      <formula>$E$3</formula>
    </cfRule>
  </conditionalFormatting>
  <conditionalFormatting sqref="F58:H58 F55:H55">
    <cfRule type="expression" dxfId="6406" priority="2921">
      <formula>$F55&gt;=$F56</formula>
    </cfRule>
  </conditionalFormatting>
  <conditionalFormatting sqref="F5:H10 F14:G20 F23:G29 F38:H38 F41:H47 F11:G11 F32:G37">
    <cfRule type="cellIs" dxfId="6405" priority="2911" stopIfTrue="1" operator="lessThan">
      <formula>0</formula>
    </cfRule>
  </conditionalFormatting>
  <conditionalFormatting sqref="C32:C38 C41:C47 C50:C51 C14:C20 C23:C29 C5:C11">
    <cfRule type="cellIs" dxfId="6404" priority="2916" stopIfTrue="1" operator="notBetween">
      <formula>$B$2</formula>
      <formula>$B$3</formula>
    </cfRule>
  </conditionalFormatting>
  <conditionalFormatting sqref="C41:C47 C50:C51 C32:C38 C14:C20 C23:C29 C5:C11">
    <cfRule type="cellIs" dxfId="6403" priority="2917" operator="greaterThan">
      <formula>$E$3</formula>
    </cfRule>
    <cfRule type="cellIs" dxfId="6402" priority="2918" operator="equal">
      <formula>$E$3</formula>
    </cfRule>
    <cfRule type="cellIs" dxfId="6401" priority="2919" operator="lessThan">
      <formula>$E$3</formula>
    </cfRule>
  </conditionalFormatting>
  <conditionalFormatting sqref="F14:G20 F23:G29 F38:H38 F41:H47 F32:G37">
    <cfRule type="expression" dxfId="6400" priority="2915">
      <formula>$C14&lt;$E$3</formula>
    </cfRule>
  </conditionalFormatting>
  <conditionalFormatting sqref="F5:H10 F14:G20 F23:G29 F38:H38 F41:H47 F11:G11 F32:G37">
    <cfRule type="expression" dxfId="6399" priority="2912">
      <formula>$C5=$E$3</formula>
    </cfRule>
    <cfRule type="expression" dxfId="6398" priority="2913">
      <formula>$C5&lt;$E$3</formula>
    </cfRule>
    <cfRule type="cellIs" dxfId="6397" priority="2914" operator="equal">
      <formula>0</formula>
    </cfRule>
    <cfRule type="expression" dxfId="6396" priority="2920">
      <formula>$C5&gt;$E$3</formula>
    </cfRule>
  </conditionalFormatting>
  <conditionalFormatting sqref="F12:G12">
    <cfRule type="expression" dxfId="6395" priority="2910">
      <formula>$F12&gt;=$F13</formula>
    </cfRule>
  </conditionalFormatting>
  <conditionalFormatting sqref="F21:G21">
    <cfRule type="expression" dxfId="6394" priority="2909">
      <formula>$F21&gt;=$F22</formula>
    </cfRule>
  </conditionalFormatting>
  <conditionalFormatting sqref="F39:H39">
    <cfRule type="expression" dxfId="6393" priority="2908">
      <formula>$F39&gt;=$F40</formula>
    </cfRule>
  </conditionalFormatting>
  <conditionalFormatting sqref="F30:G30">
    <cfRule type="expression" dxfId="6392" priority="2907">
      <formula>$F30&gt;=$F31</formula>
    </cfRule>
  </conditionalFormatting>
  <conditionalFormatting sqref="F48:H48">
    <cfRule type="expression" dxfId="6391" priority="2905" stopIfTrue="1">
      <formula>$H$48=-1E-55</formula>
    </cfRule>
    <cfRule type="expression" dxfId="6390" priority="2906">
      <formula>$F48&gt;=$F49</formula>
    </cfRule>
  </conditionalFormatting>
  <conditionalFormatting sqref="F14:G20 F23:G29 F38:H38 F41:H47 F32:G37">
    <cfRule type="expression" dxfId="6389" priority="2904">
      <formula>$C14&lt;$E$3</formula>
    </cfRule>
  </conditionalFormatting>
  <conditionalFormatting sqref="F14:G20 F5:H10 F23:G29 F38:H38 F41:H47 F11:G11 F32:G37">
    <cfRule type="expression" dxfId="6388" priority="2900">
      <formula>$C5=$E$3</formula>
    </cfRule>
    <cfRule type="expression" dxfId="6387" priority="2901">
      <formula>$C5&lt;$E$3</formula>
    </cfRule>
    <cfRule type="cellIs" dxfId="6386" priority="2902" operator="equal">
      <formula>0</formula>
    </cfRule>
    <cfRule type="expression" dxfId="6385" priority="2903">
      <formula>$C5&gt;$E$3</formula>
    </cfRule>
  </conditionalFormatting>
  <conditionalFormatting sqref="F12:G12">
    <cfRule type="expression" dxfId="6384" priority="2899">
      <formula>$F12&gt;=$F13</formula>
    </cfRule>
  </conditionalFormatting>
  <conditionalFormatting sqref="F21:G21">
    <cfRule type="expression" dxfId="6383" priority="2898">
      <formula>$F21&gt;=$F22</formula>
    </cfRule>
  </conditionalFormatting>
  <conditionalFormatting sqref="F39:H39">
    <cfRule type="expression" dxfId="6382" priority="2897">
      <formula>$F39&gt;=$F40</formula>
    </cfRule>
  </conditionalFormatting>
  <conditionalFormatting sqref="F30:G30">
    <cfRule type="expression" dxfId="6381" priority="2896">
      <formula>$F30&gt;=$F31</formula>
    </cfRule>
  </conditionalFormatting>
  <conditionalFormatting sqref="F48:H48">
    <cfRule type="expression" dxfId="6380" priority="2894" stopIfTrue="1">
      <formula>$E$41=""</formula>
    </cfRule>
    <cfRule type="expression" dxfId="6379" priority="2895">
      <formula>$F48&gt;=$F49</formula>
    </cfRule>
  </conditionalFormatting>
  <conditionalFormatting sqref="F41:H47">
    <cfRule type="expression" dxfId="6378" priority="2893">
      <formula>$E41=""</formula>
    </cfRule>
  </conditionalFormatting>
  <conditionalFormatting sqref="F47:H47">
    <cfRule type="expression" dxfId="6377" priority="2892">
      <formula>$E$46=""</formula>
    </cfRule>
  </conditionalFormatting>
  <conditionalFormatting sqref="F45:H45">
    <cfRule type="expression" dxfId="6376" priority="2891">
      <formula>$E45=""</formula>
    </cfRule>
  </conditionalFormatting>
  <conditionalFormatting sqref="F5:H10 F11:G11">
    <cfRule type="expression" dxfId="6375" priority="2890">
      <formula>$C5&lt;$E$3</formula>
    </cfRule>
  </conditionalFormatting>
  <conditionalFormatting sqref="F5:H10 F11:G11">
    <cfRule type="expression" dxfId="6374" priority="2889">
      <formula>$E5=""</formula>
    </cfRule>
  </conditionalFormatting>
  <conditionalFormatting sqref="F5:H10 F11:G11">
    <cfRule type="expression" dxfId="6373" priority="2885">
      <formula>$C5=$E$3</formula>
    </cfRule>
    <cfRule type="expression" dxfId="6372" priority="2886">
      <formula>$C5&lt;$E$3</formula>
    </cfRule>
    <cfRule type="cellIs" dxfId="6371" priority="2887" operator="equal">
      <formula>0</formula>
    </cfRule>
    <cfRule type="expression" dxfId="6370" priority="2888">
      <formula>$C5&gt;$E$3</formula>
    </cfRule>
  </conditionalFormatting>
  <conditionalFormatting sqref="F5:H10 F11:G11">
    <cfRule type="expression" dxfId="6369" priority="2884">
      <formula>$C5&lt;$E$3</formula>
    </cfRule>
  </conditionalFormatting>
  <conditionalFormatting sqref="F5:H10 F11:G11">
    <cfRule type="expression" dxfId="6368" priority="2883">
      <formula>$E5=""</formula>
    </cfRule>
  </conditionalFormatting>
  <conditionalFormatting sqref="F14:G20">
    <cfRule type="expression" dxfId="6367" priority="2882">
      <formula>$C14&lt;$E$3</formula>
    </cfRule>
  </conditionalFormatting>
  <conditionalFormatting sqref="F14:G20">
    <cfRule type="expression" dxfId="6366" priority="2878">
      <formula>$C14=$E$3</formula>
    </cfRule>
    <cfRule type="expression" dxfId="6365" priority="2879">
      <formula>$C14&lt;$E$3</formula>
    </cfRule>
    <cfRule type="cellIs" dxfId="6364" priority="2880" operator="equal">
      <formula>0</formula>
    </cfRule>
    <cfRule type="expression" dxfId="6363" priority="2881">
      <formula>$C14&gt;$E$3</formula>
    </cfRule>
  </conditionalFormatting>
  <conditionalFormatting sqref="F5:H10 F11:G11">
    <cfRule type="expression" dxfId="6362" priority="2877">
      <formula>$C5&lt;$E$3</formula>
    </cfRule>
  </conditionalFormatting>
  <conditionalFormatting sqref="F5:H10 F11:G11">
    <cfRule type="expression" dxfId="6361" priority="2873">
      <formula>$C5=$E$3</formula>
    </cfRule>
    <cfRule type="expression" dxfId="6360" priority="2874">
      <formula>$C5&lt;$E$3</formula>
    </cfRule>
    <cfRule type="cellIs" dxfId="6359" priority="2875" operator="equal">
      <formula>0</formula>
    </cfRule>
    <cfRule type="expression" dxfId="6358" priority="2876">
      <formula>$C5&gt;$E$3</formula>
    </cfRule>
  </conditionalFormatting>
  <conditionalFormatting sqref="F5:H10 F11:G11">
    <cfRule type="expression" dxfId="6357" priority="2872">
      <formula>$E5=""</formula>
    </cfRule>
  </conditionalFormatting>
  <conditionalFormatting sqref="F5:H10 F11:G11">
    <cfRule type="expression" dxfId="6356" priority="2871">
      <formula>$C5&lt;$E$3</formula>
    </cfRule>
  </conditionalFormatting>
  <conditionalFormatting sqref="F5:H10 F11:G11">
    <cfRule type="expression" dxfId="6355" priority="2870">
      <formula>$E5=""</formula>
    </cfRule>
  </conditionalFormatting>
  <conditionalFormatting sqref="F5:H10 F11:G11">
    <cfRule type="expression" dxfId="6354" priority="2869">
      <formula>$E5=""</formula>
    </cfRule>
  </conditionalFormatting>
  <conditionalFormatting sqref="F5:H10 F11:G11">
    <cfRule type="expression" dxfId="6353" priority="2868">
      <formula>$C5&lt;$E$3</formula>
    </cfRule>
  </conditionalFormatting>
  <conditionalFormatting sqref="F5:H10 F11:G11">
    <cfRule type="expression" dxfId="6352" priority="2867">
      <formula>$E5=""</formula>
    </cfRule>
  </conditionalFormatting>
  <conditionalFormatting sqref="F5:H10 F11:G11">
    <cfRule type="expression" dxfId="6351" priority="2866">
      <formula>$C5&lt;$E$3</formula>
    </cfRule>
  </conditionalFormatting>
  <conditionalFormatting sqref="F5:H10 F11:G11">
    <cfRule type="expression" dxfId="6350" priority="2865">
      <formula>$E5=""</formula>
    </cfRule>
  </conditionalFormatting>
  <conditionalFormatting sqref="F5:H10 F11:G11">
    <cfRule type="expression" dxfId="6349" priority="2864">
      <formula>$C5&lt;$E$3</formula>
    </cfRule>
  </conditionalFormatting>
  <conditionalFormatting sqref="F5:H10 F11:G11">
    <cfRule type="expression" dxfId="6348" priority="2863">
      <formula>$E5=""</formula>
    </cfRule>
  </conditionalFormatting>
  <conditionalFormatting sqref="F14:G20">
    <cfRule type="expression" dxfId="6347" priority="2862">
      <formula>$C14&lt;$E$3</formula>
    </cfRule>
  </conditionalFormatting>
  <conditionalFormatting sqref="F14:G20">
    <cfRule type="expression" dxfId="6346" priority="2858">
      <formula>$C14=$E$3</formula>
    </cfRule>
    <cfRule type="expression" dxfId="6345" priority="2859">
      <formula>$C14&lt;$E$3</formula>
    </cfRule>
    <cfRule type="cellIs" dxfId="6344" priority="2860" operator="equal">
      <formula>0</formula>
    </cfRule>
    <cfRule type="expression" dxfId="6343" priority="2861">
      <formula>$C14&gt;$E$3</formula>
    </cfRule>
  </conditionalFormatting>
  <conditionalFormatting sqref="F14:G20">
    <cfRule type="expression" dxfId="6342" priority="2857">
      <formula>$E14=""</formula>
    </cfRule>
  </conditionalFormatting>
  <conditionalFormatting sqref="F14:G20">
    <cfRule type="expression" dxfId="6341" priority="2856">
      <formula>$C14&lt;$E$3</formula>
    </cfRule>
  </conditionalFormatting>
  <conditionalFormatting sqref="F14:G20">
    <cfRule type="expression" dxfId="6340" priority="2855">
      <formula>$E14=""</formula>
    </cfRule>
  </conditionalFormatting>
  <conditionalFormatting sqref="F14:G20">
    <cfRule type="expression" dxfId="6339" priority="2854">
      <formula>$E14=""</formula>
    </cfRule>
  </conditionalFormatting>
  <conditionalFormatting sqref="F14:G20">
    <cfRule type="expression" dxfId="6338" priority="2853">
      <formula>$C14&lt;$E$3</formula>
    </cfRule>
  </conditionalFormatting>
  <conditionalFormatting sqref="F14:G20">
    <cfRule type="expression" dxfId="6337" priority="2852">
      <formula>$E14=""</formula>
    </cfRule>
  </conditionalFormatting>
  <conditionalFormatting sqref="F14:G20">
    <cfRule type="expression" dxfId="6336" priority="2851">
      <formula>$C14&lt;$E$3</formula>
    </cfRule>
  </conditionalFormatting>
  <conditionalFormatting sqref="F14:G20">
    <cfRule type="expression" dxfId="6335" priority="2850">
      <formula>$E14=""</formula>
    </cfRule>
  </conditionalFormatting>
  <conditionalFormatting sqref="F14:G20">
    <cfRule type="expression" dxfId="6334" priority="2849">
      <formula>$C14&lt;$E$3</formula>
    </cfRule>
  </conditionalFormatting>
  <conditionalFormatting sqref="F14:G20">
    <cfRule type="expression" dxfId="6333" priority="2848">
      <formula>$E14=""</formula>
    </cfRule>
  </conditionalFormatting>
  <conditionalFormatting sqref="F23:G29">
    <cfRule type="expression" dxfId="6332" priority="2847">
      <formula>$C23&lt;$E$3</formula>
    </cfRule>
  </conditionalFormatting>
  <conditionalFormatting sqref="F23:G29">
    <cfRule type="expression" dxfId="6331" priority="2843">
      <formula>$C23=$E$3</formula>
    </cfRule>
    <cfRule type="expression" dxfId="6330" priority="2844">
      <formula>$C23&lt;$E$3</formula>
    </cfRule>
    <cfRule type="cellIs" dxfId="6329" priority="2845" operator="equal">
      <formula>0</formula>
    </cfRule>
    <cfRule type="expression" dxfId="6328" priority="2846">
      <formula>$C23&gt;$E$3</formula>
    </cfRule>
  </conditionalFormatting>
  <conditionalFormatting sqref="F23:G29">
    <cfRule type="expression" dxfId="6327" priority="2842">
      <formula>$C23&lt;$E$3</formula>
    </cfRule>
  </conditionalFormatting>
  <conditionalFormatting sqref="F23:G29">
    <cfRule type="expression" dxfId="6326" priority="2838">
      <formula>$C23=$E$3</formula>
    </cfRule>
    <cfRule type="expression" dxfId="6325" priority="2839">
      <formula>$C23&lt;$E$3</formula>
    </cfRule>
    <cfRule type="cellIs" dxfId="6324" priority="2840" operator="equal">
      <formula>0</formula>
    </cfRule>
    <cfRule type="expression" dxfId="6323" priority="2841">
      <formula>$C23&gt;$E$3</formula>
    </cfRule>
  </conditionalFormatting>
  <conditionalFormatting sqref="F23:G29">
    <cfRule type="expression" dxfId="6322" priority="2837">
      <formula>$E23=""</formula>
    </cfRule>
  </conditionalFormatting>
  <conditionalFormatting sqref="F23:G29">
    <cfRule type="expression" dxfId="6321" priority="2836">
      <formula>$C23&lt;$E$3</formula>
    </cfRule>
  </conditionalFormatting>
  <conditionalFormatting sqref="F23:G29">
    <cfRule type="expression" dxfId="6320" priority="2835">
      <formula>$E23=""</formula>
    </cfRule>
  </conditionalFormatting>
  <conditionalFormatting sqref="F23:G29">
    <cfRule type="expression" dxfId="6319" priority="2834">
      <formula>$E23=""</formula>
    </cfRule>
  </conditionalFormatting>
  <conditionalFormatting sqref="F23:G29">
    <cfRule type="expression" dxfId="6318" priority="2833">
      <formula>$C23&lt;$E$3</formula>
    </cfRule>
  </conditionalFormatting>
  <conditionalFormatting sqref="F23:G29">
    <cfRule type="expression" dxfId="6317" priority="2832">
      <formula>$E23=""</formula>
    </cfRule>
  </conditionalFormatting>
  <conditionalFormatting sqref="F23:G29">
    <cfRule type="expression" dxfId="6316" priority="2831">
      <formula>$C23&lt;$E$3</formula>
    </cfRule>
  </conditionalFormatting>
  <conditionalFormatting sqref="F23:G29">
    <cfRule type="expression" dxfId="6315" priority="2830">
      <formula>$E23=""</formula>
    </cfRule>
  </conditionalFormatting>
  <conditionalFormatting sqref="F23:G29">
    <cfRule type="expression" dxfId="6314" priority="2829">
      <formula>$C23&lt;$E$3</formula>
    </cfRule>
  </conditionalFormatting>
  <conditionalFormatting sqref="F23:G29">
    <cfRule type="expression" dxfId="6313" priority="2828">
      <formula>$E23=""</formula>
    </cfRule>
  </conditionalFormatting>
  <conditionalFormatting sqref="F38:H38 F32:G37">
    <cfRule type="expression" dxfId="6312" priority="2827">
      <formula>$C32&lt;$E$3</formula>
    </cfRule>
  </conditionalFormatting>
  <conditionalFormatting sqref="F38:H38 F32:G37">
    <cfRule type="expression" dxfId="6311" priority="2823">
      <formula>$C32=$E$3</formula>
    </cfRule>
    <cfRule type="expression" dxfId="6310" priority="2824">
      <formula>$C32&lt;$E$3</formula>
    </cfRule>
    <cfRule type="cellIs" dxfId="6309" priority="2825" operator="equal">
      <formula>0</formula>
    </cfRule>
    <cfRule type="expression" dxfId="6308" priority="2826">
      <formula>$C32&gt;$E$3</formula>
    </cfRule>
  </conditionalFormatting>
  <conditionalFormatting sqref="F38:H38 F32:G37">
    <cfRule type="expression" dxfId="6307" priority="2822">
      <formula>$C32&lt;$E$3</formula>
    </cfRule>
  </conditionalFormatting>
  <conditionalFormatting sqref="F38:H38 F32:G37">
    <cfRule type="expression" dxfId="6306" priority="2818">
      <formula>$C32=$E$3</formula>
    </cfRule>
    <cfRule type="expression" dxfId="6305" priority="2819">
      <formula>$C32&lt;$E$3</formula>
    </cfRule>
    <cfRule type="cellIs" dxfId="6304" priority="2820" operator="equal">
      <formula>0</formula>
    </cfRule>
    <cfRule type="expression" dxfId="6303" priority="2821">
      <formula>$C32&gt;$E$3</formula>
    </cfRule>
  </conditionalFormatting>
  <conditionalFormatting sqref="F38:H38 F32:G37">
    <cfRule type="expression" dxfId="6302" priority="2817">
      <formula>$E32=""</formula>
    </cfRule>
  </conditionalFormatting>
  <conditionalFormatting sqref="F38:H38 F32:G37">
    <cfRule type="expression" dxfId="6301" priority="2816">
      <formula>$C32&lt;$E$3</formula>
    </cfRule>
  </conditionalFormatting>
  <conditionalFormatting sqref="F38:H38 F32:G37">
    <cfRule type="expression" dxfId="6300" priority="2815">
      <formula>$E32=""</formula>
    </cfRule>
  </conditionalFormatting>
  <conditionalFormatting sqref="F38:H38 F32:G37">
    <cfRule type="expression" dxfId="6299" priority="2814">
      <formula>$E32=""</formula>
    </cfRule>
  </conditionalFormatting>
  <conditionalFormatting sqref="F38:H38 F32:G37">
    <cfRule type="expression" dxfId="6298" priority="2813">
      <formula>$C32&lt;$E$3</formula>
    </cfRule>
  </conditionalFormatting>
  <conditionalFormatting sqref="F38:H38 F32:G37">
    <cfRule type="expression" dxfId="6297" priority="2812">
      <formula>$E32=""</formula>
    </cfRule>
  </conditionalFormatting>
  <conditionalFormatting sqref="F38:H38 F32:G37">
    <cfRule type="expression" dxfId="6296" priority="2811">
      <formula>$C32&lt;$E$3</formula>
    </cfRule>
  </conditionalFormatting>
  <conditionalFormatting sqref="F38:H38 F32:G37">
    <cfRule type="expression" dxfId="6295" priority="2810">
      <formula>$E32=""</formula>
    </cfRule>
  </conditionalFormatting>
  <conditionalFormatting sqref="F38:H38 F32:G37">
    <cfRule type="expression" dxfId="6294" priority="2809">
      <formula>$C32&lt;$E$3</formula>
    </cfRule>
  </conditionalFormatting>
  <conditionalFormatting sqref="F38:H38 F32:G37">
    <cfRule type="expression" dxfId="6293" priority="2808">
      <formula>$E32=""</formula>
    </cfRule>
  </conditionalFormatting>
  <conditionalFormatting sqref="F41:H47">
    <cfRule type="expression" dxfId="6292" priority="2807">
      <formula>$C41&lt;$E$3</formula>
    </cfRule>
  </conditionalFormatting>
  <conditionalFormatting sqref="F41:H47">
    <cfRule type="expression" dxfId="6291" priority="2803">
      <formula>$C41=$E$3</formula>
    </cfRule>
    <cfRule type="expression" dxfId="6290" priority="2804">
      <formula>$C41&lt;$E$3</formula>
    </cfRule>
    <cfRule type="cellIs" dxfId="6289" priority="2805" operator="equal">
      <formula>0</formula>
    </cfRule>
    <cfRule type="expression" dxfId="6288" priority="2806">
      <formula>$C41&gt;$E$3</formula>
    </cfRule>
  </conditionalFormatting>
  <conditionalFormatting sqref="F41:H47">
    <cfRule type="expression" dxfId="6287" priority="2802">
      <formula>$C41&lt;$E$3</formula>
    </cfRule>
  </conditionalFormatting>
  <conditionalFormatting sqref="F41:H47">
    <cfRule type="expression" dxfId="6286" priority="2798">
      <formula>$C41=$E$3</formula>
    </cfRule>
    <cfRule type="expression" dxfId="6285" priority="2799">
      <formula>$C41&lt;$E$3</formula>
    </cfRule>
    <cfRule type="cellIs" dxfId="6284" priority="2800" operator="equal">
      <formula>0</formula>
    </cfRule>
    <cfRule type="expression" dxfId="6283" priority="2801">
      <formula>$C41&gt;$E$3</formula>
    </cfRule>
  </conditionalFormatting>
  <conditionalFormatting sqref="F41:H47">
    <cfRule type="expression" dxfId="6282" priority="2797">
      <formula>$E41=""</formula>
    </cfRule>
  </conditionalFormatting>
  <conditionalFormatting sqref="F41:H47">
    <cfRule type="expression" dxfId="6281" priority="2796">
      <formula>$C41&lt;$E$3</formula>
    </cfRule>
  </conditionalFormatting>
  <conditionalFormatting sqref="F41:H47">
    <cfRule type="expression" dxfId="6280" priority="2795">
      <formula>$E41=""</formula>
    </cfRule>
  </conditionalFormatting>
  <conditionalFormatting sqref="F41:H47">
    <cfRule type="expression" dxfId="6279" priority="2794">
      <formula>$E41=""</formula>
    </cfRule>
  </conditionalFormatting>
  <conditionalFormatting sqref="F41:H47">
    <cfRule type="expression" dxfId="6278" priority="2793">
      <formula>$C41&lt;$E$3</formula>
    </cfRule>
  </conditionalFormatting>
  <conditionalFormatting sqref="F41:H47">
    <cfRule type="expression" dxfId="6277" priority="2792">
      <formula>$E41=""</formula>
    </cfRule>
  </conditionalFormatting>
  <conditionalFormatting sqref="F41:H47">
    <cfRule type="expression" dxfId="6276" priority="2791">
      <formula>$C41&lt;$E$3</formula>
    </cfRule>
  </conditionalFormatting>
  <conditionalFormatting sqref="F41:H47">
    <cfRule type="expression" dxfId="6275" priority="2790">
      <formula>$E41=""</formula>
    </cfRule>
  </conditionalFormatting>
  <conditionalFormatting sqref="F41:H47">
    <cfRule type="expression" dxfId="6274" priority="2789">
      <formula>$C41&lt;$E$3</formula>
    </cfRule>
  </conditionalFormatting>
  <conditionalFormatting sqref="F41:H47">
    <cfRule type="expression" dxfId="6273" priority="2788">
      <formula>$E41=""</formula>
    </cfRule>
  </conditionalFormatting>
  <conditionalFormatting sqref="F50:H51">
    <cfRule type="cellIs" dxfId="6272" priority="2787" stopIfTrue="1" operator="lessThan">
      <formula>0</formula>
    </cfRule>
  </conditionalFormatting>
  <conditionalFormatting sqref="F50:H51">
    <cfRule type="expression" dxfId="6271" priority="2786">
      <formula>$C50&lt;$E$3</formula>
    </cfRule>
  </conditionalFormatting>
  <conditionalFormatting sqref="F50:H51">
    <cfRule type="expression" dxfId="6270" priority="2782">
      <formula>$C50=$E$3</formula>
    </cfRule>
    <cfRule type="expression" dxfId="6269" priority="2783">
      <formula>$C50&lt;$E$3</formula>
    </cfRule>
    <cfRule type="cellIs" dxfId="6268" priority="2784" operator="equal">
      <formula>0</formula>
    </cfRule>
    <cfRule type="expression" dxfId="6267" priority="2785">
      <formula>$C50&gt;$E$3</formula>
    </cfRule>
  </conditionalFormatting>
  <conditionalFormatting sqref="F50:H51">
    <cfRule type="expression" dxfId="6266" priority="2781">
      <formula>$C50&lt;$E$3</formula>
    </cfRule>
  </conditionalFormatting>
  <conditionalFormatting sqref="F50:H51">
    <cfRule type="expression" dxfId="6265" priority="2777">
      <formula>$C50=$E$3</formula>
    </cfRule>
    <cfRule type="expression" dxfId="6264" priority="2778">
      <formula>$C50&lt;$E$3</formula>
    </cfRule>
    <cfRule type="cellIs" dxfId="6263" priority="2779" operator="equal">
      <formula>0</formula>
    </cfRule>
    <cfRule type="expression" dxfId="6262" priority="2780">
      <formula>$C50&gt;$E$3</formula>
    </cfRule>
  </conditionalFormatting>
  <conditionalFormatting sqref="F50:H51">
    <cfRule type="expression" dxfId="6261" priority="2776">
      <formula>$C50&lt;$E$3</formula>
    </cfRule>
  </conditionalFormatting>
  <conditionalFormatting sqref="F50:H51">
    <cfRule type="expression" dxfId="6260" priority="2772">
      <formula>$C50=$E$3</formula>
    </cfRule>
    <cfRule type="expression" dxfId="6259" priority="2773">
      <formula>$C50&lt;$E$3</formula>
    </cfRule>
    <cfRule type="cellIs" dxfId="6258" priority="2774" operator="equal">
      <formula>0</formula>
    </cfRule>
    <cfRule type="expression" dxfId="6257" priority="2775">
      <formula>$C50&gt;$E$3</formula>
    </cfRule>
  </conditionalFormatting>
  <conditionalFormatting sqref="F50:H51">
    <cfRule type="expression" dxfId="6256" priority="2771">
      <formula>$C50&lt;$E$3</formula>
    </cfRule>
  </conditionalFormatting>
  <conditionalFormatting sqref="F50:H51">
    <cfRule type="expression" dxfId="6255" priority="2767">
      <formula>$C50=$E$3</formula>
    </cfRule>
    <cfRule type="expression" dxfId="6254" priority="2768">
      <formula>$C50&lt;$E$3</formula>
    </cfRule>
    <cfRule type="cellIs" dxfId="6253" priority="2769" operator="equal">
      <formula>0</formula>
    </cfRule>
    <cfRule type="expression" dxfId="6252" priority="2770">
      <formula>$C50&gt;$E$3</formula>
    </cfRule>
  </conditionalFormatting>
  <conditionalFormatting sqref="F50:H51">
    <cfRule type="expression" dxfId="6251" priority="2766">
      <formula>$E50=""</formula>
    </cfRule>
  </conditionalFormatting>
  <conditionalFormatting sqref="F50:H51">
    <cfRule type="expression" dxfId="6250" priority="2765">
      <formula>$C50&lt;$E$3</formula>
    </cfRule>
  </conditionalFormatting>
  <conditionalFormatting sqref="F50:H51">
    <cfRule type="expression" dxfId="6249" priority="2764">
      <formula>$E50=""</formula>
    </cfRule>
  </conditionalFormatting>
  <conditionalFormatting sqref="F50:H51">
    <cfRule type="expression" dxfId="6248" priority="2763">
      <formula>$E50=""</formula>
    </cfRule>
  </conditionalFormatting>
  <conditionalFormatting sqref="F50:H51">
    <cfRule type="expression" dxfId="6247" priority="2762">
      <formula>$C50&lt;$E$3</formula>
    </cfRule>
  </conditionalFormatting>
  <conditionalFormatting sqref="F50:H51">
    <cfRule type="expression" dxfId="6246" priority="2761">
      <formula>$E50=""</formula>
    </cfRule>
  </conditionalFormatting>
  <conditionalFormatting sqref="F50:H51">
    <cfRule type="expression" dxfId="6245" priority="2760">
      <formula>$C50&lt;$E$3</formula>
    </cfRule>
  </conditionalFormatting>
  <conditionalFormatting sqref="F50:H51">
    <cfRule type="expression" dxfId="6244" priority="2759">
      <formula>$E50=""</formula>
    </cfRule>
  </conditionalFormatting>
  <conditionalFormatting sqref="F50:H51">
    <cfRule type="expression" dxfId="6243" priority="2758">
      <formula>$C50&lt;$E$3</formula>
    </cfRule>
  </conditionalFormatting>
  <conditionalFormatting sqref="F50:H51">
    <cfRule type="expression" dxfId="6242" priority="2757">
      <formula>$E50=""</formula>
    </cfRule>
  </conditionalFormatting>
  <conditionalFormatting sqref="E14:E20 E5:E11 E41:E47 E32:E38 E23:E29 E50:E51">
    <cfRule type="containsText" dxfId="6241" priority="2750" operator="containsText" text="Sa">
      <formula>NOT(ISERROR(SEARCH("Sa",E5)))</formula>
    </cfRule>
    <cfRule type="containsText" dxfId="6240" priority="2752" operator="containsText" text="Fr">
      <formula>NOT(ISERROR(SEARCH("Fr",E5)))</formula>
    </cfRule>
    <cfRule type="containsText" dxfId="6239" priority="2753" operator="containsText" text="Th">
      <formula>NOT(ISERROR(SEARCH("Th",E5)))</formula>
    </cfRule>
  </conditionalFormatting>
  <conditionalFormatting sqref="E14:E20 E5:E11 E41:E47 E32:E38 E23:E29 E50:E51">
    <cfRule type="containsText" dxfId="6238" priority="2754" operator="containsText" text="Wed">
      <formula>NOT(ISERROR(SEARCH("Wed",E5)))</formula>
    </cfRule>
    <cfRule type="containsText" dxfId="6237" priority="2755" operator="containsText" text="Tu">
      <formula>NOT(ISERROR(SEARCH("Tu",E5)))</formula>
    </cfRule>
    <cfRule type="beginsWith" dxfId="6236" priority="2756" operator="beginsWith" text="M">
      <formula>LEFT(E5,1)="M"</formula>
    </cfRule>
  </conditionalFormatting>
  <conditionalFormatting sqref="E14:E20 E5:E11 E41:E47 E32:E38 E23:E29 E50:E51">
    <cfRule type="containsText" dxfId="6235" priority="2751" operator="containsText" text="Su">
      <formula>NOT(ISERROR(SEARCH("Su",E5)))</formula>
    </cfRule>
  </conditionalFormatting>
  <conditionalFormatting sqref="C4">
    <cfRule type="cellIs" dxfId="6234" priority="2746" stopIfTrue="1" operator="notBetween">
      <formula>$B$2</formula>
      <formula>$B$3</formula>
    </cfRule>
  </conditionalFormatting>
  <conditionalFormatting sqref="C4">
    <cfRule type="cellIs" dxfId="6233" priority="2747" operator="greaterThan">
      <formula>$E$3</formula>
    </cfRule>
    <cfRule type="cellIs" dxfId="6232" priority="2748" operator="equal">
      <formula>$E$3</formula>
    </cfRule>
    <cfRule type="cellIs" dxfId="6231" priority="2749" operator="lessThan">
      <formula>$E$3</formula>
    </cfRule>
  </conditionalFormatting>
  <conditionalFormatting sqref="H23:H29 H32 H14:H20 H11">
    <cfRule type="cellIs" dxfId="6230" priority="2556" stopIfTrue="1" operator="lessThan">
      <formula>0</formula>
    </cfRule>
  </conditionalFormatting>
  <conditionalFormatting sqref="H12">
    <cfRule type="expression" dxfId="6229" priority="2555">
      <formula>$F12&gt;=$F13</formula>
    </cfRule>
  </conditionalFormatting>
  <conditionalFormatting sqref="H21">
    <cfRule type="expression" dxfId="6228" priority="2554">
      <formula>$F21&gt;=$F22</formula>
    </cfRule>
  </conditionalFormatting>
  <conditionalFormatting sqref="H30">
    <cfRule type="expression" dxfId="6227" priority="2553">
      <formula>$F30&gt;=$F31</formula>
    </cfRule>
  </conditionalFormatting>
  <conditionalFormatting sqref="H12">
    <cfRule type="expression" dxfId="6226" priority="2552">
      <formula>$F12&gt;=$F13</formula>
    </cfRule>
  </conditionalFormatting>
  <conditionalFormatting sqref="H21">
    <cfRule type="expression" dxfId="6225" priority="2551">
      <formula>$F21&gt;=$F22</formula>
    </cfRule>
  </conditionalFormatting>
  <conditionalFormatting sqref="H30">
    <cfRule type="expression" dxfId="6224" priority="2550">
      <formula>$F30&gt;=$F31</formula>
    </cfRule>
  </conditionalFormatting>
  <conditionalFormatting sqref="H11">
    <cfRule type="expression" dxfId="6223" priority="2548">
      <formula>$C11&lt;$E$3</formula>
    </cfRule>
  </conditionalFormatting>
  <conditionalFormatting sqref="H11">
    <cfRule type="expression" dxfId="6222" priority="2545">
      <formula>$C11=$E$3</formula>
    </cfRule>
    <cfRule type="expression" dxfId="6221" priority="2546">
      <formula>$C11&lt;$E$3</formula>
    </cfRule>
    <cfRule type="cellIs" dxfId="6220" priority="2547" operator="equal">
      <formula>0</formula>
    </cfRule>
    <cfRule type="expression" dxfId="6219" priority="2549">
      <formula>$C11&gt;$E$3</formula>
    </cfRule>
  </conditionalFormatting>
  <conditionalFormatting sqref="H11">
    <cfRule type="expression" dxfId="6218" priority="2544">
      <formula>$C11&lt;$E$3</formula>
    </cfRule>
  </conditionalFormatting>
  <conditionalFormatting sqref="H11">
    <cfRule type="expression" dxfId="6217" priority="2540">
      <formula>$C11=$E$3</formula>
    </cfRule>
    <cfRule type="expression" dxfId="6216" priority="2541">
      <formula>$C11&lt;$E$3</formula>
    </cfRule>
    <cfRule type="cellIs" dxfId="6215" priority="2542" operator="equal">
      <formula>0</formula>
    </cfRule>
    <cfRule type="expression" dxfId="6214" priority="2543">
      <formula>$C11&gt;$E$3</formula>
    </cfRule>
  </conditionalFormatting>
  <conditionalFormatting sqref="H11">
    <cfRule type="expression" dxfId="6213" priority="2539">
      <formula>$C11&lt;$E$3</formula>
    </cfRule>
  </conditionalFormatting>
  <conditionalFormatting sqref="H11">
    <cfRule type="expression" dxfId="6212" priority="2535">
      <formula>$C11=$E$3</formula>
    </cfRule>
    <cfRule type="expression" dxfId="6211" priority="2536">
      <formula>$C11&lt;$E$3</formula>
    </cfRule>
    <cfRule type="cellIs" dxfId="6210" priority="2537" operator="equal">
      <formula>0</formula>
    </cfRule>
    <cfRule type="expression" dxfId="6209" priority="2538">
      <formula>$C11&gt;$E$3</formula>
    </cfRule>
  </conditionalFormatting>
  <conditionalFormatting sqref="H11">
    <cfRule type="expression" dxfId="6208" priority="2534">
      <formula>$C11&lt;$E$3</formula>
    </cfRule>
  </conditionalFormatting>
  <conditionalFormatting sqref="H11">
    <cfRule type="expression" dxfId="6207" priority="2530">
      <formula>$C11=$E$3</formula>
    </cfRule>
    <cfRule type="expression" dxfId="6206" priority="2531">
      <formula>$C11&lt;$E$3</formula>
    </cfRule>
    <cfRule type="cellIs" dxfId="6205" priority="2532" operator="equal">
      <formula>0</formula>
    </cfRule>
    <cfRule type="expression" dxfId="6204" priority="2533">
      <formula>$C11&gt;$E$3</formula>
    </cfRule>
  </conditionalFormatting>
  <conditionalFormatting sqref="H11">
    <cfRule type="expression" dxfId="6203" priority="2529">
      <formula>$E11=""</formula>
    </cfRule>
  </conditionalFormatting>
  <conditionalFormatting sqref="H11">
    <cfRule type="expression" dxfId="6202" priority="2528">
      <formula>$C11&lt;$E$3</formula>
    </cfRule>
  </conditionalFormatting>
  <conditionalFormatting sqref="H11">
    <cfRule type="expression" dxfId="6201" priority="2527">
      <formula>$E11=""</formula>
    </cfRule>
  </conditionalFormatting>
  <conditionalFormatting sqref="H11">
    <cfRule type="expression" dxfId="6200" priority="2526">
      <formula>$E11=""</formula>
    </cfRule>
  </conditionalFormatting>
  <conditionalFormatting sqref="H11">
    <cfRule type="expression" dxfId="6199" priority="2525">
      <formula>$C11&lt;$E$3</formula>
    </cfRule>
  </conditionalFormatting>
  <conditionalFormatting sqref="H11">
    <cfRule type="expression" dxfId="6198" priority="2524">
      <formula>$E11=""</formula>
    </cfRule>
  </conditionalFormatting>
  <conditionalFormatting sqref="H11">
    <cfRule type="expression" dxfId="6197" priority="2523">
      <formula>$C11&lt;$E$3</formula>
    </cfRule>
  </conditionalFormatting>
  <conditionalFormatting sqref="H11">
    <cfRule type="expression" dxfId="6196" priority="2522">
      <formula>$E11=""</formula>
    </cfRule>
  </conditionalFormatting>
  <conditionalFormatting sqref="H11">
    <cfRule type="expression" dxfId="6195" priority="2521">
      <formula>$C11&lt;$E$3</formula>
    </cfRule>
  </conditionalFormatting>
  <conditionalFormatting sqref="H11">
    <cfRule type="expression" dxfId="6194" priority="2520">
      <formula>$E11=""</formula>
    </cfRule>
  </conditionalFormatting>
  <conditionalFormatting sqref="H14:H20">
    <cfRule type="expression" dxfId="6193" priority="2518">
      <formula>$C14&lt;$E$3</formula>
    </cfRule>
  </conditionalFormatting>
  <conditionalFormatting sqref="H14:H20">
    <cfRule type="expression" dxfId="6192" priority="2515">
      <formula>$C14=$E$3</formula>
    </cfRule>
    <cfRule type="expression" dxfId="6191" priority="2516">
      <formula>$C14&lt;$E$3</formula>
    </cfRule>
    <cfRule type="cellIs" dxfId="6190" priority="2517" operator="equal">
      <formula>0</formula>
    </cfRule>
    <cfRule type="expression" dxfId="6189" priority="2519">
      <formula>$C14&gt;$E$3</formula>
    </cfRule>
  </conditionalFormatting>
  <conditionalFormatting sqref="H14:H20">
    <cfRule type="expression" dxfId="6188" priority="2514">
      <formula>$C14&lt;$E$3</formula>
    </cfRule>
  </conditionalFormatting>
  <conditionalFormatting sqref="H14:H20">
    <cfRule type="expression" dxfId="6187" priority="2510">
      <formula>$C14=$E$3</formula>
    </cfRule>
    <cfRule type="expression" dxfId="6186" priority="2511">
      <formula>$C14&lt;$E$3</formula>
    </cfRule>
    <cfRule type="cellIs" dxfId="6185" priority="2512" operator="equal">
      <formula>0</formula>
    </cfRule>
    <cfRule type="expression" dxfId="6184" priority="2513">
      <formula>$C14&gt;$E$3</formula>
    </cfRule>
  </conditionalFormatting>
  <conditionalFormatting sqref="H14:H20">
    <cfRule type="expression" dxfId="6183" priority="2509">
      <formula>$C14&lt;$E$3</formula>
    </cfRule>
  </conditionalFormatting>
  <conditionalFormatting sqref="H14:H20">
    <cfRule type="expression" dxfId="6182" priority="2505">
      <formula>$C14=$E$3</formula>
    </cfRule>
    <cfRule type="expression" dxfId="6181" priority="2506">
      <formula>$C14&lt;$E$3</formula>
    </cfRule>
    <cfRule type="cellIs" dxfId="6180" priority="2507" operator="equal">
      <formula>0</formula>
    </cfRule>
    <cfRule type="expression" dxfId="6179" priority="2508">
      <formula>$C14&gt;$E$3</formula>
    </cfRule>
  </conditionalFormatting>
  <conditionalFormatting sqref="H14:H20">
    <cfRule type="expression" dxfId="6178" priority="2504">
      <formula>$C14&lt;$E$3</formula>
    </cfRule>
  </conditionalFormatting>
  <conditionalFormatting sqref="H14:H20">
    <cfRule type="expression" dxfId="6177" priority="2500">
      <formula>$C14=$E$3</formula>
    </cfRule>
    <cfRule type="expression" dxfId="6176" priority="2501">
      <formula>$C14&lt;$E$3</formula>
    </cfRule>
    <cfRule type="cellIs" dxfId="6175" priority="2502" operator="equal">
      <formula>0</formula>
    </cfRule>
    <cfRule type="expression" dxfId="6174" priority="2503">
      <formula>$C14&gt;$E$3</formula>
    </cfRule>
  </conditionalFormatting>
  <conditionalFormatting sqref="H14:H20">
    <cfRule type="expression" dxfId="6173" priority="2499">
      <formula>$E14=""</formula>
    </cfRule>
  </conditionalFormatting>
  <conditionalFormatting sqref="H14:H20">
    <cfRule type="expression" dxfId="6172" priority="2498">
      <formula>$C14&lt;$E$3</formula>
    </cfRule>
  </conditionalFormatting>
  <conditionalFormatting sqref="H14:H20">
    <cfRule type="expression" dxfId="6171" priority="2497">
      <formula>$E14=""</formula>
    </cfRule>
  </conditionalFormatting>
  <conditionalFormatting sqref="H14:H20">
    <cfRule type="expression" dxfId="6170" priority="2496">
      <formula>$E14=""</formula>
    </cfRule>
  </conditionalFormatting>
  <conditionalFormatting sqref="H14:H20">
    <cfRule type="expression" dxfId="6169" priority="2495">
      <formula>$C14&lt;$E$3</formula>
    </cfRule>
  </conditionalFormatting>
  <conditionalFormatting sqref="H14:H20">
    <cfRule type="expression" dxfId="6168" priority="2494">
      <formula>$E14=""</formula>
    </cfRule>
  </conditionalFormatting>
  <conditionalFormatting sqref="H14:H20">
    <cfRule type="expression" dxfId="6167" priority="2493">
      <formula>$C14&lt;$E$3</formula>
    </cfRule>
  </conditionalFormatting>
  <conditionalFormatting sqref="H14:H20">
    <cfRule type="expression" dxfId="6166" priority="2492">
      <formula>$E14=""</formula>
    </cfRule>
  </conditionalFormatting>
  <conditionalFormatting sqref="H14:H20">
    <cfRule type="expression" dxfId="6165" priority="2491">
      <formula>$C14&lt;$E$3</formula>
    </cfRule>
  </conditionalFormatting>
  <conditionalFormatting sqref="H14:H20">
    <cfRule type="expression" dxfId="6164" priority="2490">
      <formula>$E14=""</formula>
    </cfRule>
  </conditionalFormatting>
  <conditionalFormatting sqref="H23:H29">
    <cfRule type="expression" dxfId="6163" priority="2488">
      <formula>$C23&lt;$E$3</formula>
    </cfRule>
  </conditionalFormatting>
  <conditionalFormatting sqref="H23:H29">
    <cfRule type="expression" dxfId="6162" priority="2485">
      <formula>$C23=$E$3</formula>
    </cfRule>
    <cfRule type="expression" dxfId="6161" priority="2486">
      <formula>$C23&lt;$E$3</formula>
    </cfRule>
    <cfRule type="cellIs" dxfId="6160" priority="2487" operator="equal">
      <formula>0</formula>
    </cfRule>
    <cfRule type="expression" dxfId="6159" priority="2489">
      <formula>$C23&gt;$E$3</formula>
    </cfRule>
  </conditionalFormatting>
  <conditionalFormatting sqref="H23:H29">
    <cfRule type="expression" dxfId="6158" priority="2484">
      <formula>$C23&lt;$E$3</formula>
    </cfRule>
  </conditionalFormatting>
  <conditionalFormatting sqref="H23:H29">
    <cfRule type="expression" dxfId="6157" priority="2480">
      <formula>$C23=$E$3</formula>
    </cfRule>
    <cfRule type="expression" dxfId="6156" priority="2481">
      <formula>$C23&lt;$E$3</formula>
    </cfRule>
    <cfRule type="cellIs" dxfId="6155" priority="2482" operator="equal">
      <formula>0</formula>
    </cfRule>
    <cfRule type="expression" dxfId="6154" priority="2483">
      <formula>$C23&gt;$E$3</formula>
    </cfRule>
  </conditionalFormatting>
  <conditionalFormatting sqref="H23:H29">
    <cfRule type="expression" dxfId="6153" priority="2479">
      <formula>$C23&lt;$E$3</formula>
    </cfRule>
  </conditionalFormatting>
  <conditionalFormatting sqref="H23:H29">
    <cfRule type="expression" dxfId="6152" priority="2475">
      <formula>$C23=$E$3</formula>
    </cfRule>
    <cfRule type="expression" dxfId="6151" priority="2476">
      <formula>$C23&lt;$E$3</formula>
    </cfRule>
    <cfRule type="cellIs" dxfId="6150" priority="2477" operator="equal">
      <formula>0</formula>
    </cfRule>
    <cfRule type="expression" dxfId="6149" priority="2478">
      <formula>$C23&gt;$E$3</formula>
    </cfRule>
  </conditionalFormatting>
  <conditionalFormatting sqref="H23:H29">
    <cfRule type="expression" dxfId="6148" priority="2474">
      <formula>$C23&lt;$E$3</formula>
    </cfRule>
  </conditionalFormatting>
  <conditionalFormatting sqref="H23:H29">
    <cfRule type="expression" dxfId="6147" priority="2470">
      <formula>$C23=$E$3</formula>
    </cfRule>
    <cfRule type="expression" dxfId="6146" priority="2471">
      <formula>$C23&lt;$E$3</formula>
    </cfRule>
    <cfRule type="cellIs" dxfId="6145" priority="2472" operator="equal">
      <formula>0</formula>
    </cfRule>
    <cfRule type="expression" dxfId="6144" priority="2473">
      <formula>$C23&gt;$E$3</formula>
    </cfRule>
  </conditionalFormatting>
  <conditionalFormatting sqref="H23:H29">
    <cfRule type="expression" dxfId="6143" priority="2469">
      <formula>$E23=""</formula>
    </cfRule>
  </conditionalFormatting>
  <conditionalFormatting sqref="H23:H29">
    <cfRule type="expression" dxfId="6142" priority="2468">
      <formula>$C23&lt;$E$3</formula>
    </cfRule>
  </conditionalFormatting>
  <conditionalFormatting sqref="H23:H29">
    <cfRule type="expression" dxfId="6141" priority="2467">
      <formula>$E23=""</formula>
    </cfRule>
  </conditionalFormatting>
  <conditionalFormatting sqref="H23:H29">
    <cfRule type="expression" dxfId="6140" priority="2466">
      <formula>$E23=""</formula>
    </cfRule>
  </conditionalFormatting>
  <conditionalFormatting sqref="H23:H29">
    <cfRule type="expression" dxfId="6139" priority="2465">
      <formula>$C23&lt;$E$3</formula>
    </cfRule>
  </conditionalFormatting>
  <conditionalFormatting sqref="H23:H29">
    <cfRule type="expression" dxfId="6138" priority="2464">
      <formula>$E23=""</formula>
    </cfRule>
  </conditionalFormatting>
  <conditionalFormatting sqref="H23:H29">
    <cfRule type="expression" dxfId="6137" priority="2463">
      <formula>$C23&lt;$E$3</formula>
    </cfRule>
  </conditionalFormatting>
  <conditionalFormatting sqref="H23:H29">
    <cfRule type="expression" dxfId="6136" priority="2462">
      <formula>$E23=""</formula>
    </cfRule>
  </conditionalFormatting>
  <conditionalFormatting sqref="H23:H29">
    <cfRule type="expression" dxfId="6135" priority="2461">
      <formula>$C23&lt;$E$3</formula>
    </cfRule>
  </conditionalFormatting>
  <conditionalFormatting sqref="H23:H29">
    <cfRule type="expression" dxfId="6134" priority="2460">
      <formula>$E23=""</formula>
    </cfRule>
  </conditionalFormatting>
  <conditionalFormatting sqref="H32">
    <cfRule type="expression" dxfId="6133" priority="2458">
      <formula>$C32&lt;$E$3</formula>
    </cfRule>
  </conditionalFormatting>
  <conditionalFormatting sqref="H32">
    <cfRule type="expression" dxfId="6132" priority="2455">
      <formula>$C32=$E$3</formula>
    </cfRule>
    <cfRule type="expression" dxfId="6131" priority="2456">
      <formula>$C32&lt;$E$3</formula>
    </cfRule>
    <cfRule type="cellIs" dxfId="6130" priority="2457" operator="equal">
      <formula>0</formula>
    </cfRule>
    <cfRule type="expression" dxfId="6129" priority="2459">
      <formula>$C32&gt;$E$3</formula>
    </cfRule>
  </conditionalFormatting>
  <conditionalFormatting sqref="H32">
    <cfRule type="expression" dxfId="6128" priority="2454">
      <formula>$C32&lt;$E$3</formula>
    </cfRule>
  </conditionalFormatting>
  <conditionalFormatting sqref="H32">
    <cfRule type="expression" dxfId="6127" priority="2450">
      <formula>$C32=$E$3</formula>
    </cfRule>
    <cfRule type="expression" dxfId="6126" priority="2451">
      <formula>$C32&lt;$E$3</formula>
    </cfRule>
    <cfRule type="cellIs" dxfId="6125" priority="2452" operator="equal">
      <formula>0</formula>
    </cfRule>
    <cfRule type="expression" dxfId="6124" priority="2453">
      <formula>$C32&gt;$E$3</formula>
    </cfRule>
  </conditionalFormatting>
  <conditionalFormatting sqref="H32">
    <cfRule type="expression" dxfId="6123" priority="2449">
      <formula>$C32&lt;$E$3</formula>
    </cfRule>
  </conditionalFormatting>
  <conditionalFormatting sqref="H32">
    <cfRule type="expression" dxfId="6122" priority="2445">
      <formula>$C32=$E$3</formula>
    </cfRule>
    <cfRule type="expression" dxfId="6121" priority="2446">
      <formula>$C32&lt;$E$3</formula>
    </cfRule>
    <cfRule type="cellIs" dxfId="6120" priority="2447" operator="equal">
      <formula>0</formula>
    </cfRule>
    <cfRule type="expression" dxfId="6119" priority="2448">
      <formula>$C32&gt;$E$3</formula>
    </cfRule>
  </conditionalFormatting>
  <conditionalFormatting sqref="H32">
    <cfRule type="expression" dxfId="6118" priority="2444">
      <formula>$C32&lt;$E$3</formula>
    </cfRule>
  </conditionalFormatting>
  <conditionalFormatting sqref="H32">
    <cfRule type="expression" dxfId="6117" priority="2440">
      <formula>$C32=$E$3</formula>
    </cfRule>
    <cfRule type="expression" dxfId="6116" priority="2441">
      <formula>$C32&lt;$E$3</formula>
    </cfRule>
    <cfRule type="cellIs" dxfId="6115" priority="2442" operator="equal">
      <formula>0</formula>
    </cfRule>
    <cfRule type="expression" dxfId="6114" priority="2443">
      <formula>$C32&gt;$E$3</formula>
    </cfRule>
  </conditionalFormatting>
  <conditionalFormatting sqref="H32">
    <cfRule type="expression" dxfId="6113" priority="2439">
      <formula>$E32=""</formula>
    </cfRule>
  </conditionalFormatting>
  <conditionalFormatting sqref="H32">
    <cfRule type="expression" dxfId="6112" priority="2438">
      <formula>$C32&lt;$E$3</formula>
    </cfRule>
  </conditionalFormatting>
  <conditionalFormatting sqref="H32">
    <cfRule type="expression" dxfId="6111" priority="2437">
      <formula>$E32=""</formula>
    </cfRule>
  </conditionalFormatting>
  <conditionalFormatting sqref="H32">
    <cfRule type="expression" dxfId="6110" priority="2436">
      <formula>$E32=""</formula>
    </cfRule>
  </conditionalFormatting>
  <conditionalFormatting sqref="H32">
    <cfRule type="expression" dxfId="6109" priority="2435">
      <formula>$C32&lt;$E$3</formula>
    </cfRule>
  </conditionalFormatting>
  <conditionalFormatting sqref="H32">
    <cfRule type="expression" dxfId="6108" priority="2434">
      <formula>$E32=""</formula>
    </cfRule>
  </conditionalFormatting>
  <conditionalFormatting sqref="H32">
    <cfRule type="expression" dxfId="6107" priority="2433">
      <formula>$C32&lt;$E$3</formula>
    </cfRule>
  </conditionalFormatting>
  <conditionalFormatting sqref="H32">
    <cfRule type="expression" dxfId="6106" priority="2432">
      <formula>$E32=""</formula>
    </cfRule>
  </conditionalFormatting>
  <conditionalFormatting sqref="H32">
    <cfRule type="expression" dxfId="6105" priority="2431">
      <formula>$C32&lt;$E$3</formula>
    </cfRule>
  </conditionalFormatting>
  <conditionalFormatting sqref="H32">
    <cfRule type="expression" dxfId="6104" priority="2430">
      <formula>$E32=""</formula>
    </cfRule>
  </conditionalFormatting>
  <conditionalFormatting sqref="F52:H52">
    <cfRule type="expression" dxfId="6103" priority="2927" stopIfTrue="1">
      <formula>$H$52=-1E-55</formula>
    </cfRule>
    <cfRule type="expression" dxfId="6102" priority="2928">
      <formula>$F52&gt;=$F53</formula>
    </cfRule>
  </conditionalFormatting>
  <conditionalFormatting sqref="H33:H37">
    <cfRule type="cellIs" dxfId="6101" priority="2343" stopIfTrue="1" operator="lessThan">
      <formula>0</formula>
    </cfRule>
  </conditionalFormatting>
  <conditionalFormatting sqref="H33:H37">
    <cfRule type="expression" dxfId="6100" priority="2347">
      <formula>$C33&lt;$E$3</formula>
    </cfRule>
  </conditionalFormatting>
  <conditionalFormatting sqref="H33:H37">
    <cfRule type="expression" dxfId="6099" priority="2344">
      <formula>$C33=$E$3</formula>
    </cfRule>
    <cfRule type="expression" dxfId="6098" priority="2345">
      <formula>$C33&lt;$E$3</formula>
    </cfRule>
    <cfRule type="cellIs" dxfId="6097" priority="2346" operator="equal">
      <formula>0</formula>
    </cfRule>
    <cfRule type="expression" dxfId="6096" priority="2348">
      <formula>$C33&gt;$E$3</formula>
    </cfRule>
  </conditionalFormatting>
  <conditionalFormatting sqref="H33:H37">
    <cfRule type="expression" dxfId="6095" priority="2342">
      <formula>$C33&lt;$E$3</formula>
    </cfRule>
  </conditionalFormatting>
  <conditionalFormatting sqref="H33:H37">
    <cfRule type="expression" dxfId="6094" priority="2338">
      <formula>$C33=$E$3</formula>
    </cfRule>
    <cfRule type="expression" dxfId="6093" priority="2339">
      <formula>$C33&lt;$E$3</formula>
    </cfRule>
    <cfRule type="cellIs" dxfId="6092" priority="2340" operator="equal">
      <formula>0</formula>
    </cfRule>
    <cfRule type="expression" dxfId="6091" priority="2341">
      <formula>$C33&gt;$E$3</formula>
    </cfRule>
  </conditionalFormatting>
  <conditionalFormatting sqref="H33:H37">
    <cfRule type="expression" dxfId="6090" priority="2337">
      <formula>$E33=""</formula>
    </cfRule>
  </conditionalFormatting>
  <conditionalFormatting sqref="H36">
    <cfRule type="expression" dxfId="6089" priority="2336">
      <formula>$E36=""</formula>
    </cfRule>
  </conditionalFormatting>
  <conditionalFormatting sqref="H33:H37">
    <cfRule type="expression" dxfId="6088" priority="2335">
      <formula>$C33&lt;$E$3</formula>
    </cfRule>
  </conditionalFormatting>
  <conditionalFormatting sqref="H33:H37">
    <cfRule type="expression" dxfId="6087" priority="2331">
      <formula>$C33=$E$3</formula>
    </cfRule>
    <cfRule type="expression" dxfId="6086" priority="2332">
      <formula>$C33&lt;$E$3</formula>
    </cfRule>
    <cfRule type="cellIs" dxfId="6085" priority="2333" operator="equal">
      <formula>0</formula>
    </cfRule>
    <cfRule type="expression" dxfId="6084" priority="2334">
      <formula>$C33&gt;$E$3</formula>
    </cfRule>
  </conditionalFormatting>
  <conditionalFormatting sqref="H33:H37">
    <cfRule type="expression" dxfId="6083" priority="2330">
      <formula>$C33&lt;$E$3</formula>
    </cfRule>
  </conditionalFormatting>
  <conditionalFormatting sqref="H33:H37">
    <cfRule type="expression" dxfId="6082" priority="2326">
      <formula>$C33=$E$3</formula>
    </cfRule>
    <cfRule type="expression" dxfId="6081" priority="2327">
      <formula>$C33&lt;$E$3</formula>
    </cfRule>
    <cfRule type="cellIs" dxfId="6080" priority="2328" operator="equal">
      <formula>0</formula>
    </cfRule>
    <cfRule type="expression" dxfId="6079" priority="2329">
      <formula>$C33&gt;$E$3</formula>
    </cfRule>
  </conditionalFormatting>
  <conditionalFormatting sqref="H33:H37">
    <cfRule type="expression" dxfId="6078" priority="2325">
      <formula>$E33=""</formula>
    </cfRule>
  </conditionalFormatting>
  <conditionalFormatting sqref="H33:H37">
    <cfRule type="expression" dxfId="6077" priority="2324">
      <formula>$C33&lt;$E$3</formula>
    </cfRule>
  </conditionalFormatting>
  <conditionalFormatting sqref="H33:H37">
    <cfRule type="expression" dxfId="6076" priority="2323">
      <formula>$E33=""</formula>
    </cfRule>
  </conditionalFormatting>
  <conditionalFormatting sqref="H33:H37">
    <cfRule type="expression" dxfId="6075" priority="2322">
      <formula>$E33=""</formula>
    </cfRule>
  </conditionalFormatting>
  <conditionalFormatting sqref="H33:H37">
    <cfRule type="expression" dxfId="6074" priority="2321">
      <formula>$C33&lt;$E$3</formula>
    </cfRule>
  </conditionalFormatting>
  <conditionalFormatting sqref="H33:H37">
    <cfRule type="expression" dxfId="6073" priority="2320">
      <formula>$E33=""</formula>
    </cfRule>
  </conditionalFormatting>
  <conditionalFormatting sqref="H33:H37">
    <cfRule type="expression" dxfId="6072" priority="2319">
      <formula>$C33&lt;$E$3</formula>
    </cfRule>
  </conditionalFormatting>
  <conditionalFormatting sqref="H33:H37">
    <cfRule type="expression" dxfId="6071" priority="2318">
      <formula>$E33=""</formula>
    </cfRule>
  </conditionalFormatting>
  <conditionalFormatting sqref="H33:H37">
    <cfRule type="expression" dxfId="6070" priority="2317">
      <formula>$C33&lt;$E$3</formula>
    </cfRule>
  </conditionalFormatting>
  <conditionalFormatting sqref="H33:H37">
    <cfRule type="expression" dxfId="6069" priority="2316">
      <formula>$E33=""</formula>
    </cfRule>
  </conditionalFormatting>
  <conditionalFormatting sqref="K50:K51">
    <cfRule type="expression" dxfId="6068" priority="700">
      <formula>$E50=""</formula>
    </cfRule>
  </conditionalFormatting>
  <conditionalFormatting sqref="K50:K51">
    <cfRule type="expression" dxfId="6067" priority="675">
      <formula>$E50=""</formula>
    </cfRule>
  </conditionalFormatting>
  <conditionalFormatting sqref="K50:K51">
    <cfRule type="expression" dxfId="6066" priority="674">
      <formula>$C50&lt;$E$3</formula>
    </cfRule>
  </conditionalFormatting>
  <conditionalFormatting sqref="K50:K51">
    <cfRule type="expression" dxfId="6065" priority="673">
      <formula>$E50=""</formula>
    </cfRule>
  </conditionalFormatting>
  <conditionalFormatting sqref="K50:K51">
    <cfRule type="expression" dxfId="6064" priority="645">
      <formula>$E50=""</formula>
    </cfRule>
  </conditionalFormatting>
  <conditionalFormatting sqref="K50:K51">
    <cfRule type="expression" dxfId="6063" priority="644">
      <formula>$C50&lt;$E$3</formula>
    </cfRule>
  </conditionalFormatting>
  <conditionalFormatting sqref="K50:K51">
    <cfRule type="expression" dxfId="6062" priority="643">
      <formula>$E50=""</formula>
    </cfRule>
  </conditionalFormatting>
  <conditionalFormatting sqref="K50:K51">
    <cfRule type="expression" dxfId="6061" priority="637">
      <formula>$C50&lt;$E$3</formula>
    </cfRule>
  </conditionalFormatting>
  <conditionalFormatting sqref="V50:W51 V5:W20 V23:W29 V32:W38 V41:W47">
    <cfRule type="cellIs" dxfId="6060" priority="1550" stopIfTrue="1" operator="lessThan">
      <formula>0</formula>
    </cfRule>
  </conditionalFormatting>
  <conditionalFormatting sqref="Q4:Q51 R5:R11 R14:R20 R23:R29 R32:R38 R41:R47 R50:R51 T50:U51 T41:U47 T32:U38 T23:U29 T14:U20 T5:U11">
    <cfRule type="cellIs" dxfId="6059" priority="1551" stopIfTrue="1" operator="lessThan">
      <formula>0</formula>
    </cfRule>
  </conditionalFormatting>
  <conditionalFormatting sqref="N5:N6 N9">
    <cfRule type="cellIs" dxfId="6058" priority="627" stopIfTrue="1" operator="lessThan">
      <formula>0</formula>
    </cfRule>
  </conditionalFormatting>
  <conditionalFormatting sqref="M14:M20 M32:M38 M41:M47 M23:M29">
    <cfRule type="expression" dxfId="6057" priority="589">
      <formula>$C14&lt;$E$3</formula>
    </cfRule>
  </conditionalFormatting>
  <conditionalFormatting sqref="M14:M20 M32:M38 M41:M47 M23:M29">
    <cfRule type="expression" dxfId="6056" priority="587">
      <formula>$C14&lt;$E$3</formula>
    </cfRule>
  </conditionalFormatting>
  <conditionalFormatting sqref="M14:M20 M32:M38 M41:M47 M23:M29">
    <cfRule type="expression" dxfId="6055" priority="559">
      <formula>$C14&lt;$E$3</formula>
    </cfRule>
  </conditionalFormatting>
  <conditionalFormatting sqref="K19">
    <cfRule type="expression" dxfId="6054" priority="519">
      <formula>$C19&lt;$E$3</formula>
    </cfRule>
  </conditionalFormatting>
  <conditionalFormatting sqref="K19">
    <cfRule type="expression" dxfId="6053" priority="517">
      <formula>$C19&lt;$E$3</formula>
    </cfRule>
  </conditionalFormatting>
  <conditionalFormatting sqref="K19">
    <cfRule type="expression" dxfId="6052" priority="489">
      <formula>$C19&lt;$E$3</formula>
    </cfRule>
  </conditionalFormatting>
  <conditionalFormatting sqref="K14:K18">
    <cfRule type="expression" dxfId="6051" priority="487">
      <formula>$C14&lt;$E$3</formula>
    </cfRule>
  </conditionalFormatting>
  <conditionalFormatting sqref="K14:K18">
    <cfRule type="expression" dxfId="6050" priority="459">
      <formula>$C14&lt;$E$3</formula>
    </cfRule>
  </conditionalFormatting>
  <conditionalFormatting sqref="K14:K18">
    <cfRule type="expression" dxfId="6049" priority="457">
      <formula>$C14&lt;$E$3</formula>
    </cfRule>
  </conditionalFormatting>
  <conditionalFormatting sqref="K14:K18">
    <cfRule type="expression" dxfId="6048" priority="429">
      <formula>$C14&lt;$E$3</formula>
    </cfRule>
  </conditionalFormatting>
  <conditionalFormatting sqref="K28">
    <cfRule type="expression" dxfId="6047" priority="382">
      <formula>$C28&lt;$E$3</formula>
    </cfRule>
  </conditionalFormatting>
  <conditionalFormatting sqref="K28">
    <cfRule type="expression" dxfId="6046" priority="380">
      <formula>$C28&lt;$E$3</formula>
    </cfRule>
  </conditionalFormatting>
  <conditionalFormatting sqref="K28">
    <cfRule type="expression" dxfId="6045" priority="352">
      <formula>$C28&lt;$E$3</formula>
    </cfRule>
  </conditionalFormatting>
  <conditionalFormatting sqref="K23:K27">
    <cfRule type="expression" dxfId="6044" priority="350">
      <formula>$C23&lt;$E$3</formula>
    </cfRule>
  </conditionalFormatting>
  <conditionalFormatting sqref="K23:K27">
    <cfRule type="expression" dxfId="6043" priority="322">
      <formula>$C23&lt;$E$3</formula>
    </cfRule>
  </conditionalFormatting>
  <conditionalFormatting sqref="K23:K27">
    <cfRule type="expression" dxfId="6042" priority="320">
      <formula>$C23&lt;$E$3</formula>
    </cfRule>
  </conditionalFormatting>
  <conditionalFormatting sqref="K23:K27">
    <cfRule type="expression" dxfId="6041" priority="292">
      <formula>$C23&lt;$E$3</formula>
    </cfRule>
  </conditionalFormatting>
  <conditionalFormatting sqref="K37">
    <cfRule type="expression" dxfId="6040" priority="245">
      <formula>$C37&lt;$E$3</formula>
    </cfRule>
  </conditionalFormatting>
  <conditionalFormatting sqref="K37">
    <cfRule type="expression" dxfId="6039" priority="243">
      <formula>$C37&lt;$E$3</formula>
    </cfRule>
  </conditionalFormatting>
  <conditionalFormatting sqref="K37">
    <cfRule type="expression" dxfId="6038" priority="215">
      <formula>$C37&lt;$E$3</formula>
    </cfRule>
  </conditionalFormatting>
  <conditionalFormatting sqref="K32:K36">
    <cfRule type="expression" dxfId="6037" priority="213">
      <formula>$C32&lt;$E$3</formula>
    </cfRule>
  </conditionalFormatting>
  <conditionalFormatting sqref="K32:K36">
    <cfRule type="expression" dxfId="6036" priority="185">
      <formula>$C32&lt;$E$3</formula>
    </cfRule>
  </conditionalFormatting>
  <conditionalFormatting sqref="K32:K36">
    <cfRule type="expression" dxfId="6035" priority="183">
      <formula>$C32&lt;$E$3</formula>
    </cfRule>
  </conditionalFormatting>
  <conditionalFormatting sqref="K32:K36">
    <cfRule type="expression" dxfId="6034" priority="155">
      <formula>$C32&lt;$E$3</formula>
    </cfRule>
  </conditionalFormatting>
  <conditionalFormatting sqref="K46">
    <cfRule type="expression" dxfId="6033" priority="108">
      <formula>$C46&lt;$E$3</formula>
    </cfRule>
  </conditionalFormatting>
  <conditionalFormatting sqref="K46">
    <cfRule type="expression" dxfId="6032" priority="106">
      <formula>$C46&lt;$E$3</formula>
    </cfRule>
  </conditionalFormatting>
  <conditionalFormatting sqref="K46">
    <cfRule type="expression" dxfId="6031" priority="78">
      <formula>$C46&lt;$E$3</formula>
    </cfRule>
  </conditionalFormatting>
  <conditionalFormatting sqref="K41:K45">
    <cfRule type="expression" dxfId="6030" priority="76">
      <formula>$C41&lt;$E$3</formula>
    </cfRule>
  </conditionalFormatting>
  <conditionalFormatting sqref="K41:K45">
    <cfRule type="expression" dxfId="6029" priority="48">
      <formula>$C41&lt;$E$3</formula>
    </cfRule>
  </conditionalFormatting>
  <conditionalFormatting sqref="K41:K45">
    <cfRule type="expression" dxfId="6028" priority="46">
      <formula>$C41&lt;$E$3</formula>
    </cfRule>
  </conditionalFormatting>
  <conditionalFormatting sqref="K41:K45">
    <cfRule type="expression" dxfId="6027" priority="18">
      <formula>$C41&lt;$E$3</formula>
    </cfRule>
  </conditionalFormatting>
  <conditionalFormatting sqref="N29">
    <cfRule type="cellIs" dxfId="6026" priority="4" stopIfTrue="1" operator="lessThan">
      <formula>0</formula>
    </cfRule>
  </conditionalFormatting>
  <conditionalFormatting sqref="N25">
    <cfRule type="cellIs" dxfId="6025" priority="3" stopIfTrue="1" operator="lessThan">
      <formula>0</formula>
    </cfRule>
  </conditionalFormatting>
  <conditionalFormatting sqref="N26">
    <cfRule type="cellIs" dxfId="6024" priority="2" stopIfTrue="1" operator="lessThan">
      <formula>0</formula>
    </cfRule>
  </conditionalFormatting>
  <conditionalFormatting sqref="N24">
    <cfRule type="cellIs" dxfId="6023" priority="1" stopIfTrue="1" operator="lessThan">
      <formula>0</formula>
    </cfRule>
  </conditionalFormatting>
  <conditionalFormatting sqref="K5:K11 K50:K51">
    <cfRule type="cellIs" dxfId="6022" priority="922" stopIfTrue="1" operator="lessThan">
      <formula>0</formula>
    </cfRule>
  </conditionalFormatting>
  <conditionalFormatting sqref="K5:K11 K50:K51">
    <cfRule type="expression" dxfId="6021" priority="920">
      <formula>$C5&lt;$E$3</formula>
    </cfRule>
  </conditionalFormatting>
  <conditionalFormatting sqref="K5:K11 K50:K51">
    <cfRule type="expression" dxfId="6020" priority="917">
      <formula>$C5=$E$3</formula>
    </cfRule>
    <cfRule type="expression" dxfId="6019" priority="918">
      <formula>$C5&lt;$E$3</formula>
    </cfRule>
    <cfRule type="cellIs" dxfId="6018" priority="919" operator="equal">
      <formula>0</formula>
    </cfRule>
    <cfRule type="expression" dxfId="6017" priority="921">
      <formula>$C5&gt;$E$3</formula>
    </cfRule>
  </conditionalFormatting>
  <conditionalFormatting sqref="K5:K11 K50:K51">
    <cfRule type="expression" dxfId="6016" priority="916">
      <formula>$E5=""</formula>
    </cfRule>
  </conditionalFormatting>
  <conditionalFormatting sqref="K5:K11 K50:K51">
    <cfRule type="expression" dxfId="6015" priority="915">
      <formula>$E5=""</formula>
    </cfRule>
  </conditionalFormatting>
  <conditionalFormatting sqref="K5:K11 K50:K51">
    <cfRule type="expression" dxfId="6014" priority="914">
      <formula>$E5=""</formula>
    </cfRule>
  </conditionalFormatting>
  <conditionalFormatting sqref="J5:J11 J50:J51 L5:M11 L50:N51">
    <cfRule type="cellIs" dxfId="6013" priority="913" stopIfTrue="1" operator="lessThan">
      <formula>0</formula>
    </cfRule>
  </conditionalFormatting>
  <conditionalFormatting sqref="J5:J11 J50:J51 L5:M11 L50:M51">
    <cfRule type="expression" dxfId="6012" priority="911">
      <formula>$C5&lt;$E$3</formula>
    </cfRule>
  </conditionalFormatting>
  <conditionalFormatting sqref="J5:J11 J50:J51 L5:M11 L50:M51">
    <cfRule type="expression" dxfId="6011" priority="908">
      <formula>$C5=$E$3</formula>
    </cfRule>
    <cfRule type="expression" dxfId="6010" priority="909">
      <formula>$C5&lt;$E$3</formula>
    </cfRule>
    <cfRule type="cellIs" dxfId="6009" priority="910" operator="equal">
      <formula>0</formula>
    </cfRule>
    <cfRule type="expression" dxfId="6008" priority="912">
      <formula>$C5&gt;$E$3</formula>
    </cfRule>
  </conditionalFormatting>
  <conditionalFormatting sqref="J5:J11 J50:J51 L5:M11 L50:M51">
    <cfRule type="expression" dxfId="6007" priority="907">
      <formula>$E5=""</formula>
    </cfRule>
  </conditionalFormatting>
  <conditionalFormatting sqref="J5:J11 J50:J51 L5:M11 L50:M51">
    <cfRule type="expression" dxfId="6006" priority="906">
      <formula>$E5=""</formula>
    </cfRule>
  </conditionalFormatting>
  <conditionalFormatting sqref="J5:J11 J50:J51 L5:M11 L50:M51">
    <cfRule type="expression" dxfId="6005" priority="905">
      <formula>$E5=""</formula>
    </cfRule>
  </conditionalFormatting>
  <conditionalFormatting sqref="M5:M11 M50:M51">
    <cfRule type="expression" dxfId="6004" priority="904">
      <formula>$C5&lt;$E$3</formula>
    </cfRule>
  </conditionalFormatting>
  <conditionalFormatting sqref="M5:M11 M50:M51">
    <cfRule type="expression" dxfId="6003" priority="900">
      <formula>$C5=$E$3</formula>
    </cfRule>
    <cfRule type="expression" dxfId="6002" priority="901">
      <formula>$C5&lt;$E$3</formula>
    </cfRule>
    <cfRule type="cellIs" dxfId="6001" priority="902" operator="equal">
      <formula>0</formula>
    </cfRule>
    <cfRule type="expression" dxfId="6000" priority="903">
      <formula>$C5&gt;$E$3</formula>
    </cfRule>
  </conditionalFormatting>
  <conditionalFormatting sqref="M5:M11 M50:M51">
    <cfRule type="expression" dxfId="5999" priority="899">
      <formula>$C5&lt;$E$3</formula>
    </cfRule>
  </conditionalFormatting>
  <conditionalFormatting sqref="M5:M11 M50:M51">
    <cfRule type="expression" dxfId="5998" priority="895">
      <formula>$C5=$E$3</formula>
    </cfRule>
    <cfRule type="expression" dxfId="5997" priority="896">
      <formula>$C5&lt;$E$3</formula>
    </cfRule>
    <cfRule type="cellIs" dxfId="5996" priority="897" operator="equal">
      <formula>0</formula>
    </cfRule>
    <cfRule type="expression" dxfId="5995" priority="898">
      <formula>$C5&gt;$E$3</formula>
    </cfRule>
  </conditionalFormatting>
  <conditionalFormatting sqref="M5:M11 M50:M51">
    <cfRule type="expression" dxfId="5994" priority="894">
      <formula>$C5&lt;$E$3</formula>
    </cfRule>
  </conditionalFormatting>
  <conditionalFormatting sqref="M5:M11 M50:M51">
    <cfRule type="expression" dxfId="5993" priority="890">
      <formula>$C5=$E$3</formula>
    </cfRule>
    <cfRule type="expression" dxfId="5992" priority="891">
      <formula>$C5&lt;$E$3</formula>
    </cfRule>
    <cfRule type="cellIs" dxfId="5991" priority="892" operator="equal">
      <formula>0</formula>
    </cfRule>
    <cfRule type="expression" dxfId="5990" priority="893">
      <formula>$C5&gt;$E$3</formula>
    </cfRule>
  </conditionalFormatting>
  <conditionalFormatting sqref="M5:M11 M50:M51">
    <cfRule type="expression" dxfId="5989" priority="889">
      <formula>$C5&lt;$E$3</formula>
    </cfRule>
  </conditionalFormatting>
  <conditionalFormatting sqref="M5:M11 M50:M51">
    <cfRule type="expression" dxfId="5988" priority="885">
      <formula>$C5=$E$3</formula>
    </cfRule>
    <cfRule type="expression" dxfId="5987" priority="886">
      <formula>$C5&lt;$E$3</formula>
    </cfRule>
    <cfRule type="cellIs" dxfId="5986" priority="887" operator="equal">
      <formula>0</formula>
    </cfRule>
    <cfRule type="expression" dxfId="5985" priority="888">
      <formula>$C5&gt;$E$3</formula>
    </cfRule>
  </conditionalFormatting>
  <conditionalFormatting sqref="M5:M11 M50:M51">
    <cfRule type="expression" dxfId="5984" priority="884">
      <formula>$E5=""</formula>
    </cfRule>
  </conditionalFormatting>
  <conditionalFormatting sqref="M5:M11 M50:M51">
    <cfRule type="expression" dxfId="5983" priority="883">
      <formula>$C5&lt;$E$3</formula>
    </cfRule>
  </conditionalFormatting>
  <conditionalFormatting sqref="M5:M11 M50:M51">
    <cfRule type="expression" dxfId="5982" priority="882">
      <formula>$E5=""</formula>
    </cfRule>
  </conditionalFormatting>
  <conditionalFormatting sqref="M5:M11 M50:M51">
    <cfRule type="expression" dxfId="5981" priority="881">
      <formula>$E5=""</formula>
    </cfRule>
  </conditionalFormatting>
  <conditionalFormatting sqref="M5:M11 M50:M51">
    <cfRule type="expression" dxfId="5980" priority="880">
      <formula>$C5&lt;$E$3</formula>
    </cfRule>
  </conditionalFormatting>
  <conditionalFormatting sqref="M5:M11 M50:M51">
    <cfRule type="expression" dxfId="5979" priority="879">
      <formula>$E5=""</formula>
    </cfRule>
  </conditionalFormatting>
  <conditionalFormatting sqref="M5:M11 M50:M51">
    <cfRule type="expression" dxfId="5978" priority="878">
      <formula>$C5&lt;$E$3</formula>
    </cfRule>
  </conditionalFormatting>
  <conditionalFormatting sqref="M5:M11 M50:M51">
    <cfRule type="expression" dxfId="5977" priority="877">
      <formula>$E5=""</formula>
    </cfRule>
  </conditionalFormatting>
  <conditionalFormatting sqref="M5:M11 M50:M51">
    <cfRule type="expression" dxfId="5976" priority="876">
      <formula>$C5&lt;$E$3</formula>
    </cfRule>
  </conditionalFormatting>
  <conditionalFormatting sqref="M5:M11 M50:M51">
    <cfRule type="expression" dxfId="5975" priority="875">
      <formula>$E5=""</formula>
    </cfRule>
  </conditionalFormatting>
  <conditionalFormatting sqref="M5:M11 M50:M51">
    <cfRule type="expression" dxfId="5974" priority="874">
      <formula>$C5&lt;$E$3</formula>
    </cfRule>
  </conditionalFormatting>
  <conditionalFormatting sqref="M5:M11 M50:M51">
    <cfRule type="expression" dxfId="5973" priority="870">
      <formula>$C5=$E$3</formula>
    </cfRule>
    <cfRule type="expression" dxfId="5972" priority="871">
      <formula>$C5&lt;$E$3</formula>
    </cfRule>
    <cfRule type="cellIs" dxfId="5971" priority="872" operator="equal">
      <formula>0</formula>
    </cfRule>
    <cfRule type="expression" dxfId="5970" priority="873">
      <formula>$C5&gt;$E$3</formula>
    </cfRule>
  </conditionalFormatting>
  <conditionalFormatting sqref="M5:M11 M50:M51">
    <cfRule type="expression" dxfId="5969" priority="869">
      <formula>$C5&lt;$E$3</formula>
    </cfRule>
  </conditionalFormatting>
  <conditionalFormatting sqref="M5:M11 M50:M51">
    <cfRule type="expression" dxfId="5968" priority="865">
      <formula>$C5=$E$3</formula>
    </cfRule>
    <cfRule type="expression" dxfId="5967" priority="866">
      <formula>$C5&lt;$E$3</formula>
    </cfRule>
    <cfRule type="cellIs" dxfId="5966" priority="867" operator="equal">
      <formula>0</formula>
    </cfRule>
    <cfRule type="expression" dxfId="5965" priority="868">
      <formula>$C5&gt;$E$3</formula>
    </cfRule>
  </conditionalFormatting>
  <conditionalFormatting sqref="M5:M11 M50:M51">
    <cfRule type="expression" dxfId="5964" priority="864">
      <formula>$C5&lt;$E$3</formula>
    </cfRule>
  </conditionalFormatting>
  <conditionalFormatting sqref="M5:M11 M50:M51">
    <cfRule type="expression" dxfId="5963" priority="860">
      <formula>$C5=$E$3</formula>
    </cfRule>
    <cfRule type="expression" dxfId="5962" priority="861">
      <formula>$C5&lt;$E$3</formula>
    </cfRule>
    <cfRule type="cellIs" dxfId="5961" priority="862" operator="equal">
      <formula>0</formula>
    </cfRule>
    <cfRule type="expression" dxfId="5960" priority="863">
      <formula>$C5&gt;$E$3</formula>
    </cfRule>
  </conditionalFormatting>
  <conditionalFormatting sqref="M5:M11 M50:M51">
    <cfRule type="expression" dxfId="5959" priority="859">
      <formula>$C5&lt;$E$3</formula>
    </cfRule>
  </conditionalFormatting>
  <conditionalFormatting sqref="M5:M11 M50:M51">
    <cfRule type="expression" dxfId="5958" priority="855">
      <formula>$C5=$E$3</formula>
    </cfRule>
    <cfRule type="expression" dxfId="5957" priority="856">
      <formula>$C5&lt;$E$3</formula>
    </cfRule>
    <cfRule type="cellIs" dxfId="5956" priority="857" operator="equal">
      <formula>0</formula>
    </cfRule>
    <cfRule type="expression" dxfId="5955" priority="858">
      <formula>$C5&gt;$E$3</formula>
    </cfRule>
  </conditionalFormatting>
  <conditionalFormatting sqref="M5:M11 M50:M51">
    <cfRule type="expression" dxfId="5954" priority="854">
      <formula>$E5=""</formula>
    </cfRule>
  </conditionalFormatting>
  <conditionalFormatting sqref="M5:M11 M50:M51">
    <cfRule type="expression" dxfId="5953" priority="853">
      <formula>$C5&lt;$E$3</formula>
    </cfRule>
  </conditionalFormatting>
  <conditionalFormatting sqref="M5:M11 M50:M51">
    <cfRule type="expression" dxfId="5952" priority="852">
      <formula>$E5=""</formula>
    </cfRule>
  </conditionalFormatting>
  <conditionalFormatting sqref="M5:M11 M50:M51">
    <cfRule type="expression" dxfId="5951" priority="851">
      <formula>$E5=""</formula>
    </cfRule>
  </conditionalFormatting>
  <conditionalFormatting sqref="M5:M11 M50:M51">
    <cfRule type="expression" dxfId="5950" priority="850">
      <formula>$C5&lt;$E$3</formula>
    </cfRule>
  </conditionalFormatting>
  <conditionalFormatting sqref="M5:M11 M50:M51">
    <cfRule type="expression" dxfId="5949" priority="849">
      <formula>$E5=""</formula>
    </cfRule>
  </conditionalFormatting>
  <conditionalFormatting sqref="M5:M11 M50:M51">
    <cfRule type="expression" dxfId="5948" priority="848">
      <formula>$C5&lt;$E$3</formula>
    </cfRule>
  </conditionalFormatting>
  <conditionalFormatting sqref="M5:M11 M50:M51">
    <cfRule type="expression" dxfId="5947" priority="847">
      <formula>$E5=""</formula>
    </cfRule>
  </conditionalFormatting>
  <conditionalFormatting sqref="M5:M11 M50:M51">
    <cfRule type="expression" dxfId="5946" priority="846">
      <formula>$C5&lt;$E$3</formula>
    </cfRule>
  </conditionalFormatting>
  <conditionalFormatting sqref="M5:M11 M50:M51">
    <cfRule type="expression" dxfId="5945" priority="845">
      <formula>$E5=""</formula>
    </cfRule>
  </conditionalFormatting>
  <conditionalFormatting sqref="K10">
    <cfRule type="expression" dxfId="5944" priority="844">
      <formula>$C10&lt;$E$3</formula>
    </cfRule>
  </conditionalFormatting>
  <conditionalFormatting sqref="K10">
    <cfRule type="expression" dxfId="5943" priority="840">
      <formula>$C10=$E$3</formula>
    </cfRule>
    <cfRule type="expression" dxfId="5942" priority="841">
      <formula>$C10&lt;$E$3</formula>
    </cfRule>
    <cfRule type="cellIs" dxfId="5941" priority="842" operator="equal">
      <formula>0</formula>
    </cfRule>
    <cfRule type="expression" dxfId="5940" priority="843">
      <formula>$C10&gt;$E$3</formula>
    </cfRule>
  </conditionalFormatting>
  <conditionalFormatting sqref="K10">
    <cfRule type="expression" dxfId="5939" priority="839">
      <formula>$C10&lt;$E$3</formula>
    </cfRule>
  </conditionalFormatting>
  <conditionalFormatting sqref="K10">
    <cfRule type="expression" dxfId="5938" priority="835">
      <formula>$C10=$E$3</formula>
    </cfRule>
    <cfRule type="expression" dxfId="5937" priority="836">
      <formula>$C10&lt;$E$3</formula>
    </cfRule>
    <cfRule type="cellIs" dxfId="5936" priority="837" operator="equal">
      <formula>0</formula>
    </cfRule>
    <cfRule type="expression" dxfId="5935" priority="838">
      <formula>$C10&gt;$E$3</formula>
    </cfRule>
  </conditionalFormatting>
  <conditionalFormatting sqref="K10">
    <cfRule type="expression" dxfId="5934" priority="834">
      <formula>$C10&lt;$E$3</formula>
    </cfRule>
  </conditionalFormatting>
  <conditionalFormatting sqref="K10">
    <cfRule type="expression" dxfId="5933" priority="830">
      <formula>$C10=$E$3</formula>
    </cfRule>
    <cfRule type="expression" dxfId="5932" priority="831">
      <formula>$C10&lt;$E$3</formula>
    </cfRule>
    <cfRule type="cellIs" dxfId="5931" priority="832" operator="equal">
      <formula>0</formula>
    </cfRule>
    <cfRule type="expression" dxfId="5930" priority="833">
      <formula>$C10&gt;$E$3</formula>
    </cfRule>
  </conditionalFormatting>
  <conditionalFormatting sqref="K10">
    <cfRule type="expression" dxfId="5929" priority="829">
      <formula>$C10&lt;$E$3</formula>
    </cfRule>
  </conditionalFormatting>
  <conditionalFormatting sqref="K10">
    <cfRule type="expression" dxfId="5928" priority="825">
      <formula>$C10=$E$3</formula>
    </cfRule>
    <cfRule type="expression" dxfId="5927" priority="826">
      <formula>$C10&lt;$E$3</formula>
    </cfRule>
    <cfRule type="cellIs" dxfId="5926" priority="827" operator="equal">
      <formula>0</formula>
    </cfRule>
    <cfRule type="expression" dxfId="5925" priority="828">
      <formula>$C10&gt;$E$3</formula>
    </cfRule>
  </conditionalFormatting>
  <conditionalFormatting sqref="K10">
    <cfRule type="expression" dxfId="5924" priority="824">
      <formula>$E10=""</formula>
    </cfRule>
  </conditionalFormatting>
  <conditionalFormatting sqref="K10">
    <cfRule type="expression" dxfId="5923" priority="823">
      <formula>$C10&lt;$E$3</formula>
    </cfRule>
  </conditionalFormatting>
  <conditionalFormatting sqref="K10">
    <cfRule type="expression" dxfId="5922" priority="822">
      <formula>$E10=""</formula>
    </cfRule>
  </conditionalFormatting>
  <conditionalFormatting sqref="K10">
    <cfRule type="expression" dxfId="5921" priority="821">
      <formula>$E10=""</formula>
    </cfRule>
  </conditionalFormatting>
  <conditionalFormatting sqref="K10">
    <cfRule type="expression" dxfId="5920" priority="820">
      <formula>$C10&lt;$E$3</formula>
    </cfRule>
  </conditionalFormatting>
  <conditionalFormatting sqref="K10">
    <cfRule type="expression" dxfId="5919" priority="819">
      <formula>$E10=""</formula>
    </cfRule>
  </conditionalFormatting>
  <conditionalFormatting sqref="K10">
    <cfRule type="expression" dxfId="5918" priority="818">
      <formula>$C10&lt;$E$3</formula>
    </cfRule>
  </conditionalFormatting>
  <conditionalFormatting sqref="K10">
    <cfRule type="expression" dxfId="5917" priority="817">
      <formula>$E10=""</formula>
    </cfRule>
  </conditionalFormatting>
  <conditionalFormatting sqref="K10">
    <cfRule type="expression" dxfId="5916" priority="816">
      <formula>$C10&lt;$E$3</formula>
    </cfRule>
  </conditionalFormatting>
  <conditionalFormatting sqref="K10">
    <cfRule type="expression" dxfId="5915" priority="815">
      <formula>$E10=""</formula>
    </cfRule>
  </conditionalFormatting>
  <conditionalFormatting sqref="K10">
    <cfRule type="expression" dxfId="5914" priority="814">
      <formula>$C10&lt;$E$3</formula>
    </cfRule>
  </conditionalFormatting>
  <conditionalFormatting sqref="K10">
    <cfRule type="expression" dxfId="5913" priority="810">
      <formula>$C10=$E$3</formula>
    </cfRule>
    <cfRule type="expression" dxfId="5912" priority="811">
      <formula>$C10&lt;$E$3</formula>
    </cfRule>
    <cfRule type="cellIs" dxfId="5911" priority="812" operator="equal">
      <formula>0</formula>
    </cfRule>
    <cfRule type="expression" dxfId="5910" priority="813">
      <formula>$C10&gt;$E$3</formula>
    </cfRule>
  </conditionalFormatting>
  <conditionalFormatting sqref="K10">
    <cfRule type="expression" dxfId="5909" priority="809">
      <formula>$C10&lt;$E$3</formula>
    </cfRule>
  </conditionalFormatting>
  <conditionalFormatting sqref="K10">
    <cfRule type="expression" dxfId="5908" priority="805">
      <formula>$C10=$E$3</formula>
    </cfRule>
    <cfRule type="expression" dxfId="5907" priority="806">
      <formula>$C10&lt;$E$3</formula>
    </cfRule>
    <cfRule type="cellIs" dxfId="5906" priority="807" operator="equal">
      <formula>0</formula>
    </cfRule>
    <cfRule type="expression" dxfId="5905" priority="808">
      <formula>$C10&gt;$E$3</formula>
    </cfRule>
  </conditionalFormatting>
  <conditionalFormatting sqref="K10">
    <cfRule type="expression" dxfId="5904" priority="804">
      <formula>$C10&lt;$E$3</formula>
    </cfRule>
  </conditionalFormatting>
  <conditionalFormatting sqref="K10">
    <cfRule type="expression" dxfId="5903" priority="800">
      <formula>$C10=$E$3</formula>
    </cfRule>
    <cfRule type="expression" dxfId="5902" priority="801">
      <formula>$C10&lt;$E$3</formula>
    </cfRule>
    <cfRule type="cellIs" dxfId="5901" priority="802" operator="equal">
      <formula>0</formula>
    </cfRule>
    <cfRule type="expression" dxfId="5900" priority="803">
      <formula>$C10&gt;$E$3</formula>
    </cfRule>
  </conditionalFormatting>
  <conditionalFormatting sqref="K10">
    <cfRule type="expression" dxfId="5899" priority="799">
      <formula>$C10&lt;$E$3</formula>
    </cfRule>
  </conditionalFormatting>
  <conditionalFormatting sqref="K10">
    <cfRule type="expression" dxfId="5898" priority="795">
      <formula>$C10=$E$3</formula>
    </cfRule>
    <cfRule type="expression" dxfId="5897" priority="796">
      <formula>$C10&lt;$E$3</formula>
    </cfRule>
    <cfRule type="cellIs" dxfId="5896" priority="797" operator="equal">
      <formula>0</formula>
    </cfRule>
    <cfRule type="expression" dxfId="5895" priority="798">
      <formula>$C10&gt;$E$3</formula>
    </cfRule>
  </conditionalFormatting>
  <conditionalFormatting sqref="K10">
    <cfRule type="expression" dxfId="5894" priority="794">
      <formula>$E10=""</formula>
    </cfRule>
  </conditionalFormatting>
  <conditionalFormatting sqref="K10">
    <cfRule type="expression" dxfId="5893" priority="793">
      <formula>$C10&lt;$E$3</formula>
    </cfRule>
  </conditionalFormatting>
  <conditionalFormatting sqref="K10">
    <cfRule type="expression" dxfId="5892" priority="792">
      <formula>$E10=""</formula>
    </cfRule>
  </conditionalFormatting>
  <conditionalFormatting sqref="K10">
    <cfRule type="expression" dxfId="5891" priority="791">
      <formula>$E10=""</formula>
    </cfRule>
  </conditionalFormatting>
  <conditionalFormatting sqref="K10">
    <cfRule type="expression" dxfId="5890" priority="790">
      <formula>$C10&lt;$E$3</formula>
    </cfRule>
  </conditionalFormatting>
  <conditionalFormatting sqref="K10">
    <cfRule type="expression" dxfId="5889" priority="789">
      <formula>$E10=""</formula>
    </cfRule>
  </conditionalFormatting>
  <conditionalFormatting sqref="K10">
    <cfRule type="expression" dxfId="5888" priority="788">
      <formula>$C10&lt;$E$3</formula>
    </cfRule>
  </conditionalFormatting>
  <conditionalFormatting sqref="K10">
    <cfRule type="expression" dxfId="5887" priority="787">
      <formula>$E10=""</formula>
    </cfRule>
  </conditionalFormatting>
  <conditionalFormatting sqref="K10">
    <cfRule type="expression" dxfId="5886" priority="786">
      <formula>$C10&lt;$E$3</formula>
    </cfRule>
  </conditionalFormatting>
  <conditionalFormatting sqref="K10">
    <cfRule type="expression" dxfId="5885" priority="785">
      <formula>$E10=""</formula>
    </cfRule>
  </conditionalFormatting>
  <conditionalFormatting sqref="K5:K9">
    <cfRule type="expression" dxfId="5884" priority="784">
      <formula>$C5&lt;$E$3</formula>
    </cfRule>
  </conditionalFormatting>
  <conditionalFormatting sqref="K5:K9">
    <cfRule type="expression" dxfId="5883" priority="780">
      <formula>$C5=$E$3</formula>
    </cfRule>
    <cfRule type="expression" dxfId="5882" priority="781">
      <formula>$C5&lt;$E$3</formula>
    </cfRule>
    <cfRule type="cellIs" dxfId="5881" priority="782" operator="equal">
      <formula>0</formula>
    </cfRule>
    <cfRule type="expression" dxfId="5880" priority="783">
      <formula>$C5&gt;$E$3</formula>
    </cfRule>
  </conditionalFormatting>
  <conditionalFormatting sqref="K5:K9">
    <cfRule type="expression" dxfId="5879" priority="779">
      <formula>$C5&lt;$E$3</formula>
    </cfRule>
  </conditionalFormatting>
  <conditionalFormatting sqref="K5:K9">
    <cfRule type="expression" dxfId="5878" priority="775">
      <formula>$C5=$E$3</formula>
    </cfRule>
    <cfRule type="expression" dxfId="5877" priority="776">
      <formula>$C5&lt;$E$3</formula>
    </cfRule>
    <cfRule type="cellIs" dxfId="5876" priority="777" operator="equal">
      <formula>0</formula>
    </cfRule>
    <cfRule type="expression" dxfId="5875" priority="778">
      <formula>$C5&gt;$E$3</formula>
    </cfRule>
  </conditionalFormatting>
  <conditionalFormatting sqref="K5:K9">
    <cfRule type="expression" dxfId="5874" priority="774">
      <formula>$C5&lt;$E$3</formula>
    </cfRule>
  </conditionalFormatting>
  <conditionalFormatting sqref="K5:K9">
    <cfRule type="expression" dxfId="5873" priority="770">
      <formula>$C5=$E$3</formula>
    </cfRule>
    <cfRule type="expression" dxfId="5872" priority="771">
      <formula>$C5&lt;$E$3</formula>
    </cfRule>
    <cfRule type="cellIs" dxfId="5871" priority="772" operator="equal">
      <formula>0</formula>
    </cfRule>
    <cfRule type="expression" dxfId="5870" priority="773">
      <formula>$C5&gt;$E$3</formula>
    </cfRule>
  </conditionalFormatting>
  <conditionalFormatting sqref="K5:K9">
    <cfRule type="expression" dxfId="5869" priority="769">
      <formula>$C5&lt;$E$3</formula>
    </cfRule>
  </conditionalFormatting>
  <conditionalFormatting sqref="K5:K9">
    <cfRule type="expression" dxfId="5868" priority="765">
      <formula>$C5=$E$3</formula>
    </cfRule>
    <cfRule type="expression" dxfId="5867" priority="766">
      <formula>$C5&lt;$E$3</formula>
    </cfRule>
    <cfRule type="cellIs" dxfId="5866" priority="767" operator="equal">
      <formula>0</formula>
    </cfRule>
    <cfRule type="expression" dxfId="5865" priority="768">
      <formula>$C5&gt;$E$3</formula>
    </cfRule>
  </conditionalFormatting>
  <conditionalFormatting sqref="K5:K9">
    <cfRule type="expression" dxfId="5864" priority="764">
      <formula>$E5=""</formula>
    </cfRule>
  </conditionalFormatting>
  <conditionalFormatting sqref="K5:K9">
    <cfRule type="expression" dxfId="5863" priority="763">
      <formula>$C5&lt;$E$3</formula>
    </cfRule>
  </conditionalFormatting>
  <conditionalFormatting sqref="K5:K9">
    <cfRule type="expression" dxfId="5862" priority="762">
      <formula>$E5=""</formula>
    </cfRule>
  </conditionalFormatting>
  <conditionalFormatting sqref="K5:K9">
    <cfRule type="expression" dxfId="5861" priority="761">
      <formula>$E5=""</formula>
    </cfRule>
  </conditionalFormatting>
  <conditionalFormatting sqref="K5:K9">
    <cfRule type="expression" dxfId="5860" priority="760">
      <formula>$C5&lt;$E$3</formula>
    </cfRule>
  </conditionalFormatting>
  <conditionalFormatting sqref="K5:K9">
    <cfRule type="expression" dxfId="5859" priority="759">
      <formula>$E5=""</formula>
    </cfRule>
  </conditionalFormatting>
  <conditionalFormatting sqref="K5:K9">
    <cfRule type="expression" dxfId="5858" priority="758">
      <formula>$C5&lt;$E$3</formula>
    </cfRule>
  </conditionalFormatting>
  <conditionalFormatting sqref="K5:K9">
    <cfRule type="expression" dxfId="5857" priority="757">
      <formula>$E5=""</formula>
    </cfRule>
  </conditionalFormatting>
  <conditionalFormatting sqref="K5:K9">
    <cfRule type="expression" dxfId="5856" priority="756">
      <formula>$C5&lt;$E$3</formula>
    </cfRule>
  </conditionalFormatting>
  <conditionalFormatting sqref="K5:K9">
    <cfRule type="expression" dxfId="5855" priority="755">
      <formula>$E5=""</formula>
    </cfRule>
  </conditionalFormatting>
  <conditionalFormatting sqref="K5:K9">
    <cfRule type="expression" dxfId="5854" priority="754">
      <formula>$C5&lt;$E$3</formula>
    </cfRule>
  </conditionalFormatting>
  <conditionalFormatting sqref="K5:K9">
    <cfRule type="expression" dxfId="5853" priority="750">
      <formula>$C5=$E$3</formula>
    </cfRule>
    <cfRule type="expression" dxfId="5852" priority="751">
      <formula>$C5&lt;$E$3</formula>
    </cfRule>
    <cfRule type="cellIs" dxfId="5851" priority="752" operator="equal">
      <formula>0</formula>
    </cfRule>
    <cfRule type="expression" dxfId="5850" priority="753">
      <formula>$C5&gt;$E$3</formula>
    </cfRule>
  </conditionalFormatting>
  <conditionalFormatting sqref="K5:K9">
    <cfRule type="expression" dxfId="5849" priority="749">
      <formula>$C5&lt;$E$3</formula>
    </cfRule>
  </conditionalFormatting>
  <conditionalFormatting sqref="K5:K9">
    <cfRule type="expression" dxfId="5848" priority="745">
      <formula>$C5=$E$3</formula>
    </cfRule>
    <cfRule type="expression" dxfId="5847" priority="746">
      <formula>$C5&lt;$E$3</formula>
    </cfRule>
    <cfRule type="cellIs" dxfId="5846" priority="747" operator="equal">
      <formula>0</formula>
    </cfRule>
    <cfRule type="expression" dxfId="5845" priority="748">
      <formula>$C5&gt;$E$3</formula>
    </cfRule>
  </conditionalFormatting>
  <conditionalFormatting sqref="K5:K9">
    <cfRule type="expression" dxfId="5844" priority="744">
      <formula>$C5&lt;$E$3</formula>
    </cfRule>
  </conditionalFormatting>
  <conditionalFormatting sqref="K5:K9">
    <cfRule type="expression" dxfId="5843" priority="740">
      <formula>$C5=$E$3</formula>
    </cfRule>
    <cfRule type="expression" dxfId="5842" priority="741">
      <formula>$C5&lt;$E$3</formula>
    </cfRule>
    <cfRule type="cellIs" dxfId="5841" priority="742" operator="equal">
      <formula>0</formula>
    </cfRule>
    <cfRule type="expression" dxfId="5840" priority="743">
      <formula>$C5&gt;$E$3</formula>
    </cfRule>
  </conditionalFormatting>
  <conditionalFormatting sqref="K5:K9">
    <cfRule type="expression" dxfId="5839" priority="739">
      <formula>$C5&lt;$E$3</formula>
    </cfRule>
  </conditionalFormatting>
  <conditionalFormatting sqref="K5:K9">
    <cfRule type="expression" dxfId="5838" priority="735">
      <formula>$C5=$E$3</formula>
    </cfRule>
    <cfRule type="expression" dxfId="5837" priority="736">
      <formula>$C5&lt;$E$3</formula>
    </cfRule>
    <cfRule type="cellIs" dxfId="5836" priority="737" operator="equal">
      <formula>0</formula>
    </cfRule>
    <cfRule type="expression" dxfId="5835" priority="738">
      <formula>$C5&gt;$E$3</formula>
    </cfRule>
  </conditionalFormatting>
  <conditionalFormatting sqref="K5:K9">
    <cfRule type="expression" dxfId="5834" priority="734">
      <formula>$E5=""</formula>
    </cfRule>
  </conditionalFormatting>
  <conditionalFormatting sqref="K5:K9">
    <cfRule type="expression" dxfId="5833" priority="733">
      <formula>$C5&lt;$E$3</formula>
    </cfRule>
  </conditionalFormatting>
  <conditionalFormatting sqref="K5:K9">
    <cfRule type="expression" dxfId="5832" priority="732">
      <formula>$E5=""</formula>
    </cfRule>
  </conditionalFormatting>
  <conditionalFormatting sqref="K5:K9">
    <cfRule type="expression" dxfId="5831" priority="731">
      <formula>$E5=""</formula>
    </cfRule>
  </conditionalFormatting>
  <conditionalFormatting sqref="K5:K9">
    <cfRule type="expression" dxfId="5830" priority="730">
      <formula>$C5&lt;$E$3</formula>
    </cfRule>
  </conditionalFormatting>
  <conditionalFormatting sqref="K5:K9">
    <cfRule type="expression" dxfId="5829" priority="729">
      <formula>$E5=""</formula>
    </cfRule>
  </conditionalFormatting>
  <conditionalFormatting sqref="K5:K9">
    <cfRule type="expression" dxfId="5828" priority="728">
      <formula>$C5&lt;$E$3</formula>
    </cfRule>
  </conditionalFormatting>
  <conditionalFormatting sqref="K5:K9">
    <cfRule type="expression" dxfId="5827" priority="727">
      <formula>$E5=""</formula>
    </cfRule>
  </conditionalFormatting>
  <conditionalFormatting sqref="K5:K9">
    <cfRule type="expression" dxfId="5826" priority="726">
      <formula>$C5&lt;$E$3</formula>
    </cfRule>
  </conditionalFormatting>
  <conditionalFormatting sqref="K5:K9">
    <cfRule type="expression" dxfId="5825" priority="725">
      <formula>$E5=""</formula>
    </cfRule>
  </conditionalFormatting>
  <conditionalFormatting sqref="K5:K11">
    <cfRule type="expression" dxfId="5824" priority="723">
      <formula>$C5&lt;$E$3</formula>
    </cfRule>
  </conditionalFormatting>
  <conditionalFormatting sqref="K5:K11">
    <cfRule type="expression" dxfId="5823" priority="720">
      <formula>$C5=$E$3</formula>
    </cfRule>
    <cfRule type="expression" dxfId="5822" priority="721">
      <formula>$C5&lt;$E$3</formula>
    </cfRule>
    <cfRule type="cellIs" dxfId="5821" priority="722" operator="equal">
      <formula>0</formula>
    </cfRule>
    <cfRule type="expression" dxfId="5820" priority="724">
      <formula>$C5&gt;$E$3</formula>
    </cfRule>
  </conditionalFormatting>
  <conditionalFormatting sqref="K5:K11">
    <cfRule type="expression" dxfId="5819" priority="719">
      <formula>$E5=""</formula>
    </cfRule>
  </conditionalFormatting>
  <conditionalFormatting sqref="K5:K11">
    <cfRule type="expression" dxfId="5818" priority="718">
      <formula>$E5=""</formula>
    </cfRule>
  </conditionalFormatting>
  <conditionalFormatting sqref="K5:K11">
    <cfRule type="expression" dxfId="5817" priority="717">
      <formula>$E5=""</formula>
    </cfRule>
  </conditionalFormatting>
  <conditionalFormatting sqref="K50:K51">
    <cfRule type="expression" dxfId="5816" priority="715">
      <formula>$C50&lt;$E$3</formula>
    </cfRule>
  </conditionalFormatting>
  <conditionalFormatting sqref="K50:K51">
    <cfRule type="expression" dxfId="5815" priority="712">
      <formula>$C50=$E$3</formula>
    </cfRule>
    <cfRule type="expression" dxfId="5814" priority="713">
      <formula>$C50&lt;$E$3</formula>
    </cfRule>
    <cfRule type="cellIs" dxfId="5813" priority="714" operator="equal">
      <formula>0</formula>
    </cfRule>
    <cfRule type="expression" dxfId="5812" priority="716">
      <formula>$C50&gt;$E$3</formula>
    </cfRule>
  </conditionalFormatting>
  <conditionalFormatting sqref="K50:K51">
    <cfRule type="expression" dxfId="5811" priority="711">
      <formula>$E50=""</formula>
    </cfRule>
  </conditionalFormatting>
  <conditionalFormatting sqref="K50:K51">
    <cfRule type="expression" dxfId="5810" priority="710">
      <formula>$E50=""</formula>
    </cfRule>
  </conditionalFormatting>
  <conditionalFormatting sqref="K50:K51">
    <cfRule type="expression" dxfId="5809" priority="709">
      <formula>$E50=""</formula>
    </cfRule>
  </conditionalFormatting>
  <conditionalFormatting sqref="K50:K51">
    <cfRule type="cellIs" dxfId="5808" priority="708" stopIfTrue="1" operator="lessThan">
      <formula>0</formula>
    </cfRule>
  </conditionalFormatting>
  <conditionalFormatting sqref="K50:K51">
    <cfRule type="expression" dxfId="5807" priority="706">
      <formula>$C50&lt;$E$3</formula>
    </cfRule>
  </conditionalFormatting>
  <conditionalFormatting sqref="K50:K51">
    <cfRule type="expression" dxfId="5806" priority="703">
      <formula>$C50=$E$3</formula>
    </cfRule>
    <cfRule type="expression" dxfId="5805" priority="704">
      <formula>$C50&lt;$E$3</formula>
    </cfRule>
    <cfRule type="cellIs" dxfId="5804" priority="705" operator="equal">
      <formula>0</formula>
    </cfRule>
    <cfRule type="expression" dxfId="5803" priority="707">
      <formula>$C50&gt;$E$3</formula>
    </cfRule>
  </conditionalFormatting>
  <conditionalFormatting sqref="K50:K51">
    <cfRule type="expression" dxfId="5802" priority="702">
      <formula>$E50=""</formula>
    </cfRule>
  </conditionalFormatting>
  <conditionalFormatting sqref="K50:K51">
    <cfRule type="expression" dxfId="5801" priority="701">
      <formula>$E50=""</formula>
    </cfRule>
  </conditionalFormatting>
  <conditionalFormatting sqref="K50:K51">
    <cfRule type="cellIs" dxfId="5800" priority="699" stopIfTrue="1" operator="lessThan">
      <formula>0</formula>
    </cfRule>
  </conditionalFormatting>
  <conditionalFormatting sqref="K50:K51">
    <cfRule type="cellIs" dxfId="5799" priority="698" stopIfTrue="1" operator="lessThan">
      <formula>0</formula>
    </cfRule>
  </conditionalFormatting>
  <conditionalFormatting sqref="K50:K51">
    <cfRule type="cellIs" dxfId="5798" priority="697" stopIfTrue="1" operator="lessThan">
      <formula>0</formula>
    </cfRule>
  </conditionalFormatting>
  <conditionalFormatting sqref="K50:K51">
    <cfRule type="cellIs" dxfId="5797" priority="696" stopIfTrue="1" operator="lessThan">
      <formula>0</formula>
    </cfRule>
  </conditionalFormatting>
  <conditionalFormatting sqref="K50:K51">
    <cfRule type="expression" dxfId="5796" priority="695">
      <formula>$C50&lt;$E$3</formula>
    </cfRule>
  </conditionalFormatting>
  <conditionalFormatting sqref="K50:K51">
    <cfRule type="expression" dxfId="5795" priority="691">
      <formula>$C50=$E$3</formula>
    </cfRule>
    <cfRule type="expression" dxfId="5794" priority="692">
      <formula>$C50&lt;$E$3</formula>
    </cfRule>
    <cfRule type="cellIs" dxfId="5793" priority="693" operator="equal">
      <formula>0</formula>
    </cfRule>
    <cfRule type="expression" dxfId="5792" priority="694">
      <formula>$C50&gt;$E$3</formula>
    </cfRule>
  </conditionalFormatting>
  <conditionalFormatting sqref="K50:K51">
    <cfRule type="expression" dxfId="5791" priority="690">
      <formula>$C50&lt;$E$3</formula>
    </cfRule>
  </conditionalFormatting>
  <conditionalFormatting sqref="K50:K51">
    <cfRule type="expression" dxfId="5790" priority="686">
      <formula>$C50=$E$3</formula>
    </cfRule>
    <cfRule type="expression" dxfId="5789" priority="687">
      <formula>$C50&lt;$E$3</formula>
    </cfRule>
    <cfRule type="cellIs" dxfId="5788" priority="688" operator="equal">
      <formula>0</formula>
    </cfRule>
    <cfRule type="expression" dxfId="5787" priority="689">
      <formula>$C50&gt;$E$3</formula>
    </cfRule>
  </conditionalFormatting>
  <conditionalFormatting sqref="K50:K51">
    <cfRule type="expression" dxfId="5786" priority="685">
      <formula>$C50&lt;$E$3</formula>
    </cfRule>
  </conditionalFormatting>
  <conditionalFormatting sqref="K50:K51">
    <cfRule type="expression" dxfId="5785" priority="681">
      <formula>$C50=$E$3</formula>
    </cfRule>
    <cfRule type="expression" dxfId="5784" priority="682">
      <formula>$C50&lt;$E$3</formula>
    </cfRule>
    <cfRule type="cellIs" dxfId="5783" priority="683" operator="equal">
      <formula>0</formula>
    </cfRule>
    <cfRule type="expression" dxfId="5782" priority="684">
      <formula>$C50&gt;$E$3</formula>
    </cfRule>
  </conditionalFormatting>
  <conditionalFormatting sqref="K50:K51">
    <cfRule type="expression" dxfId="5781" priority="680">
      <formula>$C50&lt;$E$3</formula>
    </cfRule>
  </conditionalFormatting>
  <conditionalFormatting sqref="K50:K51">
    <cfRule type="expression" dxfId="5780" priority="676">
      <formula>$C50=$E$3</formula>
    </cfRule>
    <cfRule type="expression" dxfId="5779" priority="677">
      <formula>$C50&lt;$E$3</formula>
    </cfRule>
    <cfRule type="cellIs" dxfId="5778" priority="678" operator="equal">
      <formula>0</formula>
    </cfRule>
    <cfRule type="expression" dxfId="5777" priority="679">
      <formula>$C50&gt;$E$3</formula>
    </cfRule>
  </conditionalFormatting>
  <conditionalFormatting sqref="K50:K51">
    <cfRule type="expression" dxfId="5776" priority="672">
      <formula>$E50=""</formula>
    </cfRule>
  </conditionalFormatting>
  <conditionalFormatting sqref="K50:K51">
    <cfRule type="expression" dxfId="5775" priority="671">
      <formula>$C50&lt;$E$3</formula>
    </cfRule>
  </conditionalFormatting>
  <conditionalFormatting sqref="K50:K51">
    <cfRule type="expression" dxfId="5774" priority="670">
      <formula>$E50=""</formula>
    </cfRule>
  </conditionalFormatting>
  <conditionalFormatting sqref="K50:K51">
    <cfRule type="expression" dxfId="5773" priority="669">
      <formula>$C50&lt;$E$3</formula>
    </cfRule>
  </conditionalFormatting>
  <conditionalFormatting sqref="K50:K51">
    <cfRule type="expression" dxfId="5772" priority="668">
      <formula>$E50=""</formula>
    </cfRule>
  </conditionalFormatting>
  <conditionalFormatting sqref="K50:K51">
    <cfRule type="expression" dxfId="5771" priority="667">
      <formula>$C50&lt;$E$3</formula>
    </cfRule>
  </conditionalFormatting>
  <conditionalFormatting sqref="K50:K51">
    <cfRule type="expression" dxfId="5770" priority="666">
      <formula>$E50=""</formula>
    </cfRule>
  </conditionalFormatting>
  <conditionalFormatting sqref="K50:K51">
    <cfRule type="expression" dxfId="5769" priority="665">
      <formula>$C50&lt;$E$3</formula>
    </cfRule>
  </conditionalFormatting>
  <conditionalFormatting sqref="K50:K51">
    <cfRule type="expression" dxfId="5768" priority="661">
      <formula>$C50=$E$3</formula>
    </cfRule>
    <cfRule type="expression" dxfId="5767" priority="662">
      <formula>$C50&lt;$E$3</formula>
    </cfRule>
    <cfRule type="cellIs" dxfId="5766" priority="663" operator="equal">
      <formula>0</formula>
    </cfRule>
    <cfRule type="expression" dxfId="5765" priority="664">
      <formula>$C50&gt;$E$3</formula>
    </cfRule>
  </conditionalFormatting>
  <conditionalFormatting sqref="K50:K51">
    <cfRule type="expression" dxfId="5764" priority="660">
      <formula>$C50&lt;$E$3</formula>
    </cfRule>
  </conditionalFormatting>
  <conditionalFormatting sqref="K50:K51">
    <cfRule type="expression" dxfId="5763" priority="656">
      <formula>$C50=$E$3</formula>
    </cfRule>
    <cfRule type="expression" dxfId="5762" priority="657">
      <formula>$C50&lt;$E$3</formula>
    </cfRule>
    <cfRule type="cellIs" dxfId="5761" priority="658" operator="equal">
      <formula>0</formula>
    </cfRule>
    <cfRule type="expression" dxfId="5760" priority="659">
      <formula>$C50&gt;$E$3</formula>
    </cfRule>
  </conditionalFormatting>
  <conditionalFormatting sqref="K50:K51">
    <cfRule type="expression" dxfId="5759" priority="655">
      <formula>$C50&lt;$E$3</formula>
    </cfRule>
  </conditionalFormatting>
  <conditionalFormatting sqref="K50:K51">
    <cfRule type="expression" dxfId="5758" priority="651">
      <formula>$C50=$E$3</formula>
    </cfRule>
    <cfRule type="expression" dxfId="5757" priority="652">
      <formula>$C50&lt;$E$3</formula>
    </cfRule>
    <cfRule type="cellIs" dxfId="5756" priority="653" operator="equal">
      <formula>0</formula>
    </cfRule>
    <cfRule type="expression" dxfId="5755" priority="654">
      <formula>$C50&gt;$E$3</formula>
    </cfRule>
  </conditionalFormatting>
  <conditionalFormatting sqref="K50:K51">
    <cfRule type="expression" dxfId="5754" priority="650">
      <formula>$C50&lt;$E$3</formula>
    </cfRule>
  </conditionalFormatting>
  <conditionalFormatting sqref="K50:K51">
    <cfRule type="expression" dxfId="5753" priority="646">
      <formula>$C50=$E$3</formula>
    </cfRule>
    <cfRule type="expression" dxfId="5752" priority="647">
      <formula>$C50&lt;$E$3</formula>
    </cfRule>
    <cfRule type="cellIs" dxfId="5751" priority="648" operator="equal">
      <formula>0</formula>
    </cfRule>
    <cfRule type="expression" dxfId="5750" priority="649">
      <formula>$C50&gt;$E$3</formula>
    </cfRule>
  </conditionalFormatting>
  <conditionalFormatting sqref="K50:K51">
    <cfRule type="expression" dxfId="5749" priority="642">
      <formula>$E50=""</formula>
    </cfRule>
  </conditionalFormatting>
  <conditionalFormatting sqref="K50:K51">
    <cfRule type="expression" dxfId="5748" priority="641">
      <formula>$C50&lt;$E$3</formula>
    </cfRule>
  </conditionalFormatting>
  <conditionalFormatting sqref="K50:K51">
    <cfRule type="expression" dxfId="5747" priority="640">
      <formula>$E50=""</formula>
    </cfRule>
  </conditionalFormatting>
  <conditionalFormatting sqref="K50:K51">
    <cfRule type="expression" dxfId="5746" priority="639">
      <formula>$C50&lt;$E$3</formula>
    </cfRule>
  </conditionalFormatting>
  <conditionalFormatting sqref="K50:K51">
    <cfRule type="expression" dxfId="5745" priority="638">
      <formula>$E50=""</formula>
    </cfRule>
  </conditionalFormatting>
  <conditionalFormatting sqref="K50:K51">
    <cfRule type="expression" dxfId="5744" priority="636">
      <formula>$E50=""</formula>
    </cfRule>
  </conditionalFormatting>
  <conditionalFormatting sqref="K50:K51">
    <cfRule type="expression" dxfId="5743" priority="634">
      <formula>$C50&lt;$E$3</formula>
    </cfRule>
  </conditionalFormatting>
  <conditionalFormatting sqref="K50:K51">
    <cfRule type="expression" dxfId="5742" priority="631">
      <formula>$C50=$E$3</formula>
    </cfRule>
    <cfRule type="expression" dxfId="5741" priority="632">
      <formula>$C50&lt;$E$3</formula>
    </cfRule>
    <cfRule type="cellIs" dxfId="5740" priority="633" operator="equal">
      <formula>0</formula>
    </cfRule>
    <cfRule type="expression" dxfId="5739" priority="635">
      <formula>$C50&gt;$E$3</formula>
    </cfRule>
  </conditionalFormatting>
  <conditionalFormatting sqref="K50:K51">
    <cfRule type="expression" dxfId="5738" priority="630">
      <formula>$E50=""</formula>
    </cfRule>
  </conditionalFormatting>
  <conditionalFormatting sqref="K50:K51">
    <cfRule type="expression" dxfId="5737" priority="629">
      <formula>$E50=""</formula>
    </cfRule>
  </conditionalFormatting>
  <conditionalFormatting sqref="K50:K51">
    <cfRule type="expression" dxfId="5736" priority="628">
      <formula>$E50=""</formula>
    </cfRule>
  </conditionalFormatting>
  <conditionalFormatting sqref="L14:M20 J41:J47 L32:M38 L41:M47 J23:J29 J32:J38 L23:M29 J14:J20">
    <cfRule type="cellIs" dxfId="5735" priority="626" stopIfTrue="1" operator="lessThan">
      <formula>0</formula>
    </cfRule>
  </conditionalFormatting>
  <conditionalFormatting sqref="J41:J47 L14:M20 L32:M38 L41:M47 J23:J29 J32:J38 L23:M29 J14:J20">
    <cfRule type="expression" dxfId="5734" priority="624">
      <formula>$C14&lt;$E$3</formula>
    </cfRule>
  </conditionalFormatting>
  <conditionalFormatting sqref="J41:J47 L14:M20 L32:M38 L41:M47 J23:J29 J32:J38 L23:M29 J14:J20">
    <cfRule type="expression" dxfId="5733" priority="621">
      <formula>$C14=$E$3</formula>
    </cfRule>
    <cfRule type="expression" dxfId="5732" priority="622">
      <formula>$C14&lt;$E$3</formula>
    </cfRule>
    <cfRule type="cellIs" dxfId="5731" priority="623" operator="equal">
      <formula>0</formula>
    </cfRule>
    <cfRule type="expression" dxfId="5730" priority="625">
      <formula>$C14&gt;$E$3</formula>
    </cfRule>
  </conditionalFormatting>
  <conditionalFormatting sqref="J41:J47 L14:M20 L32:M38 L41:M47 J23:J29 J32:J38 L23:M29 J14:J20">
    <cfRule type="expression" dxfId="5729" priority="620">
      <formula>$E14=""</formula>
    </cfRule>
  </conditionalFormatting>
  <conditionalFormatting sqref="J41:J47 L14:M20 L32:M38 L41:M47 J23:J29 J32:J38 L23:M29 J14:J20">
    <cfRule type="expression" dxfId="5728" priority="619">
      <formula>$E14=""</formula>
    </cfRule>
  </conditionalFormatting>
  <conditionalFormatting sqref="J41:J47 L14:M20 L32:M38 L41:M47 J23:J29 J32:J38 L23:M29 J14:J20">
    <cfRule type="expression" dxfId="5727" priority="618">
      <formula>$E14=""</formula>
    </cfRule>
  </conditionalFormatting>
  <conditionalFormatting sqref="M14:M20 M32:M38 M41:M47 M23:M29">
    <cfRule type="expression" dxfId="5726" priority="617">
      <formula>$C14&lt;$E$3</formula>
    </cfRule>
  </conditionalFormatting>
  <conditionalFormatting sqref="M14:M20 M32:M38 M41:M47 M23:M29">
    <cfRule type="expression" dxfId="5725" priority="613">
      <formula>$C14=$E$3</formula>
    </cfRule>
    <cfRule type="expression" dxfId="5724" priority="614">
      <formula>$C14&lt;$E$3</formula>
    </cfRule>
    <cfRule type="cellIs" dxfId="5723" priority="615" operator="equal">
      <formula>0</formula>
    </cfRule>
    <cfRule type="expression" dxfId="5722" priority="616">
      <formula>$C14&gt;$E$3</formula>
    </cfRule>
  </conditionalFormatting>
  <conditionalFormatting sqref="M14:M20 M32:M38 M41:M47 M23:M29">
    <cfRule type="expression" dxfId="5721" priority="612">
      <formula>$C14&lt;$E$3</formula>
    </cfRule>
  </conditionalFormatting>
  <conditionalFormatting sqref="M14:M20 M32:M38 M41:M47 M23:M29">
    <cfRule type="expression" dxfId="5720" priority="608">
      <formula>$C14=$E$3</formula>
    </cfRule>
    <cfRule type="expression" dxfId="5719" priority="609">
      <formula>$C14&lt;$E$3</formula>
    </cfRule>
    <cfRule type="cellIs" dxfId="5718" priority="610" operator="equal">
      <formula>0</formula>
    </cfRule>
    <cfRule type="expression" dxfId="5717" priority="611">
      <formula>$C14&gt;$E$3</formula>
    </cfRule>
  </conditionalFormatting>
  <conditionalFormatting sqref="M14:M20 M32:M38 M41:M47 M23:M29">
    <cfRule type="expression" dxfId="5716" priority="607">
      <formula>$C14&lt;$E$3</formula>
    </cfRule>
  </conditionalFormatting>
  <conditionalFormatting sqref="M14:M20 M32:M38 M41:M47 M23:M29">
    <cfRule type="expression" dxfId="5715" priority="603">
      <formula>$C14=$E$3</formula>
    </cfRule>
    <cfRule type="expression" dxfId="5714" priority="604">
      <formula>$C14&lt;$E$3</formula>
    </cfRule>
    <cfRule type="cellIs" dxfId="5713" priority="605" operator="equal">
      <formula>0</formula>
    </cfRule>
    <cfRule type="expression" dxfId="5712" priority="606">
      <formula>$C14&gt;$E$3</formula>
    </cfRule>
  </conditionalFormatting>
  <conditionalFormatting sqref="M14:M20 M32:M38 M41:M47 M23:M29">
    <cfRule type="expression" dxfId="5711" priority="602">
      <formula>$C14&lt;$E$3</formula>
    </cfRule>
  </conditionalFormatting>
  <conditionalFormatting sqref="M14:M20 M32:M38 M41:M47 M23:M29">
    <cfRule type="expression" dxfId="5710" priority="598">
      <formula>$C14=$E$3</formula>
    </cfRule>
    <cfRule type="expression" dxfId="5709" priority="599">
      <formula>$C14&lt;$E$3</formula>
    </cfRule>
    <cfRule type="cellIs" dxfId="5708" priority="600" operator="equal">
      <formula>0</formula>
    </cfRule>
    <cfRule type="expression" dxfId="5707" priority="601">
      <formula>$C14&gt;$E$3</formula>
    </cfRule>
  </conditionalFormatting>
  <conditionalFormatting sqref="M14:M20 M32:M38 M41:M47 M23:M29">
    <cfRule type="expression" dxfId="5706" priority="597">
      <formula>$E14=""</formula>
    </cfRule>
  </conditionalFormatting>
  <conditionalFormatting sqref="M14:M20 M32:M38 M41:M47 M23:M29">
    <cfRule type="expression" dxfId="5705" priority="596">
      <formula>$C14&lt;$E$3</formula>
    </cfRule>
  </conditionalFormatting>
  <conditionalFormatting sqref="M14:M20 M32:M38 M41:M47 M23:M29">
    <cfRule type="expression" dxfId="5704" priority="595">
      <formula>$E14=""</formula>
    </cfRule>
  </conditionalFormatting>
  <conditionalFormatting sqref="M32:M38 M41:M47 M14:M20 M23:M29">
    <cfRule type="expression" dxfId="5703" priority="594">
      <formula>$E14=""</formula>
    </cfRule>
  </conditionalFormatting>
  <conditionalFormatting sqref="M14:M20 M32:M38 M41:M47 M23:M29">
    <cfRule type="expression" dxfId="5702" priority="593">
      <formula>$C14&lt;$E$3</formula>
    </cfRule>
  </conditionalFormatting>
  <conditionalFormatting sqref="M14:M20 M32:M38 M41:M47 M23:M29">
    <cfRule type="expression" dxfId="5701" priority="592">
      <formula>$E14=""</formula>
    </cfRule>
  </conditionalFormatting>
  <conditionalFormatting sqref="M14:M20 M32:M38 M41:M47 M23:M29">
    <cfRule type="expression" dxfId="5700" priority="591">
      <formula>$C14&lt;$E$3</formula>
    </cfRule>
  </conditionalFormatting>
  <conditionalFormatting sqref="M14:M20 M32:M38 M41:M47 M23:M29">
    <cfRule type="expression" dxfId="5699" priority="590">
      <formula>$E14=""</formula>
    </cfRule>
  </conditionalFormatting>
  <conditionalFormatting sqref="M14:M20 M32:M38 M41:M47 M23:M29">
    <cfRule type="expression" dxfId="5698" priority="588">
      <formula>$E14=""</formula>
    </cfRule>
  </conditionalFormatting>
  <conditionalFormatting sqref="M14:M20 M32:M38 M41:M47 M23:M29">
    <cfRule type="expression" dxfId="5697" priority="583">
      <formula>$C14=$E$3</formula>
    </cfRule>
    <cfRule type="expression" dxfId="5696" priority="584">
      <formula>$C14&lt;$E$3</formula>
    </cfRule>
    <cfRule type="cellIs" dxfId="5695" priority="585" operator="equal">
      <formula>0</formula>
    </cfRule>
    <cfRule type="expression" dxfId="5694" priority="586">
      <formula>$C14&gt;$E$3</formula>
    </cfRule>
  </conditionalFormatting>
  <conditionalFormatting sqref="M14:M20 M32:M38 M41:M47 M23:M29">
    <cfRule type="expression" dxfId="5693" priority="582">
      <formula>$C14&lt;$E$3</formula>
    </cfRule>
  </conditionalFormatting>
  <conditionalFormatting sqref="M14:M20 M32:M38 M41:M47 M23:M29">
    <cfRule type="expression" dxfId="5692" priority="578">
      <formula>$C14=$E$3</formula>
    </cfRule>
    <cfRule type="expression" dxfId="5691" priority="579">
      <formula>$C14&lt;$E$3</formula>
    </cfRule>
    <cfRule type="cellIs" dxfId="5690" priority="580" operator="equal">
      <formula>0</formula>
    </cfRule>
    <cfRule type="expression" dxfId="5689" priority="581">
      <formula>$C14&gt;$E$3</formula>
    </cfRule>
  </conditionalFormatting>
  <conditionalFormatting sqref="M14:M20 M32:M38 M41:M47 M23:M29">
    <cfRule type="expression" dxfId="5688" priority="577">
      <formula>$C14&lt;$E$3</formula>
    </cfRule>
  </conditionalFormatting>
  <conditionalFormatting sqref="M14:M20 M32:M38 M41:M47 M23:M29">
    <cfRule type="expression" dxfId="5687" priority="573">
      <formula>$C14=$E$3</formula>
    </cfRule>
    <cfRule type="expression" dxfId="5686" priority="574">
      <formula>$C14&lt;$E$3</formula>
    </cfRule>
    <cfRule type="cellIs" dxfId="5685" priority="575" operator="equal">
      <formula>0</formula>
    </cfRule>
    <cfRule type="expression" dxfId="5684" priority="576">
      <formula>$C14&gt;$E$3</formula>
    </cfRule>
  </conditionalFormatting>
  <conditionalFormatting sqref="M14:M20 M32:M38 M41:M47 M23:M29">
    <cfRule type="expression" dxfId="5683" priority="572">
      <formula>$C14&lt;$E$3</formula>
    </cfRule>
  </conditionalFormatting>
  <conditionalFormatting sqref="M14:M20 M32:M38 M41:M47 M23:M29">
    <cfRule type="expression" dxfId="5682" priority="568">
      <formula>$C14=$E$3</formula>
    </cfRule>
    <cfRule type="expression" dxfId="5681" priority="569">
      <formula>$C14&lt;$E$3</formula>
    </cfRule>
    <cfRule type="cellIs" dxfId="5680" priority="570" operator="equal">
      <formula>0</formula>
    </cfRule>
    <cfRule type="expression" dxfId="5679" priority="571">
      <formula>$C14&gt;$E$3</formula>
    </cfRule>
  </conditionalFormatting>
  <conditionalFormatting sqref="M14:M20 M32:M38 M41:M47 M23:M29">
    <cfRule type="expression" dxfId="5678" priority="567">
      <formula>$E14=""</formula>
    </cfRule>
  </conditionalFormatting>
  <conditionalFormatting sqref="M14:M20 M32:M38 M41:M47 M23:M29">
    <cfRule type="expression" dxfId="5677" priority="566">
      <formula>$C14&lt;$E$3</formula>
    </cfRule>
  </conditionalFormatting>
  <conditionalFormatting sqref="M14:M20 M32:M38 M41:M47 M23:M29">
    <cfRule type="expression" dxfId="5676" priority="565">
      <formula>$E14=""</formula>
    </cfRule>
  </conditionalFormatting>
  <conditionalFormatting sqref="M32:M38 M41:M47 M14:M20 M23:M29">
    <cfRule type="expression" dxfId="5675" priority="564">
      <formula>$E14=""</formula>
    </cfRule>
  </conditionalFormatting>
  <conditionalFormatting sqref="M14:M20 M32:M38 M41:M47 M23:M29">
    <cfRule type="expression" dxfId="5674" priority="563">
      <formula>$C14&lt;$E$3</formula>
    </cfRule>
  </conditionalFormatting>
  <conditionalFormatting sqref="M14:M20 M32:M38 M41:M47 M23:M29">
    <cfRule type="expression" dxfId="5673" priority="562">
      <formula>$E14=""</formula>
    </cfRule>
  </conditionalFormatting>
  <conditionalFormatting sqref="M14:M20 M32:M38 M41:M47 M23:M29">
    <cfRule type="expression" dxfId="5672" priority="561">
      <formula>$C14&lt;$E$3</formula>
    </cfRule>
  </conditionalFormatting>
  <conditionalFormatting sqref="M14:M20 M32:M38 M41:M47 M23:M29">
    <cfRule type="expression" dxfId="5671" priority="560">
      <formula>$E14=""</formula>
    </cfRule>
  </conditionalFormatting>
  <conditionalFormatting sqref="M14:M20 M32:M38 M41:M47 M23:M29">
    <cfRule type="expression" dxfId="5670" priority="558">
      <formula>$E14=""</formula>
    </cfRule>
  </conditionalFormatting>
  <conditionalFormatting sqref="K37">
    <cfRule type="expression" dxfId="5669" priority="263">
      <formula>$C37&lt;$E$3</formula>
    </cfRule>
  </conditionalFormatting>
  <conditionalFormatting sqref="K37">
    <cfRule type="expression" dxfId="5668" priority="259">
      <formula>$C37=$E$3</formula>
    </cfRule>
    <cfRule type="expression" dxfId="5667" priority="260">
      <formula>$C37&lt;$E$3</formula>
    </cfRule>
    <cfRule type="cellIs" dxfId="5666" priority="261" operator="equal">
      <formula>0</formula>
    </cfRule>
    <cfRule type="expression" dxfId="5665" priority="262">
      <formula>$C37&gt;$E$3</formula>
    </cfRule>
  </conditionalFormatting>
  <conditionalFormatting sqref="K37">
    <cfRule type="expression" dxfId="5664" priority="258">
      <formula>$C37&lt;$E$3</formula>
    </cfRule>
  </conditionalFormatting>
  <conditionalFormatting sqref="K37">
    <cfRule type="expression" dxfId="5663" priority="254">
      <formula>$C37=$E$3</formula>
    </cfRule>
    <cfRule type="expression" dxfId="5662" priority="255">
      <formula>$C37&lt;$E$3</formula>
    </cfRule>
    <cfRule type="cellIs" dxfId="5661" priority="256" operator="equal">
      <formula>0</formula>
    </cfRule>
    <cfRule type="expression" dxfId="5660" priority="257">
      <formula>$C37&gt;$E$3</formula>
    </cfRule>
  </conditionalFormatting>
  <conditionalFormatting sqref="K37">
    <cfRule type="expression" dxfId="5659" priority="233">
      <formula>$C37&lt;$E$3</formula>
    </cfRule>
  </conditionalFormatting>
  <conditionalFormatting sqref="K37">
    <cfRule type="expression" dxfId="5658" priority="229">
      <formula>$C37=$E$3</formula>
    </cfRule>
    <cfRule type="expression" dxfId="5657" priority="230">
      <formula>$C37&lt;$E$3</formula>
    </cfRule>
    <cfRule type="cellIs" dxfId="5656" priority="231" operator="equal">
      <formula>0</formula>
    </cfRule>
    <cfRule type="expression" dxfId="5655" priority="232">
      <formula>$C37&gt;$E$3</formula>
    </cfRule>
  </conditionalFormatting>
  <conditionalFormatting sqref="K37">
    <cfRule type="expression" dxfId="5654" priority="228">
      <formula>$C37&lt;$E$3</formula>
    </cfRule>
  </conditionalFormatting>
  <conditionalFormatting sqref="K37">
    <cfRule type="expression" dxfId="5653" priority="224">
      <formula>$C37=$E$3</formula>
    </cfRule>
    <cfRule type="expression" dxfId="5652" priority="225">
      <formula>$C37&lt;$E$3</formula>
    </cfRule>
    <cfRule type="cellIs" dxfId="5651" priority="226" operator="equal">
      <formula>0</formula>
    </cfRule>
    <cfRule type="expression" dxfId="5650" priority="227">
      <formula>$C37&gt;$E$3</formula>
    </cfRule>
  </conditionalFormatting>
  <conditionalFormatting sqref="K32:K36">
    <cfRule type="expression" dxfId="5649" priority="203">
      <formula>$C32&lt;$E$3</formula>
    </cfRule>
  </conditionalFormatting>
  <conditionalFormatting sqref="K32:K36">
    <cfRule type="expression" dxfId="5648" priority="199">
      <formula>$C32=$E$3</formula>
    </cfRule>
    <cfRule type="expression" dxfId="5647" priority="200">
      <formula>$C32&lt;$E$3</formula>
    </cfRule>
    <cfRule type="cellIs" dxfId="5646" priority="201" operator="equal">
      <formula>0</formula>
    </cfRule>
    <cfRule type="expression" dxfId="5645" priority="202">
      <formula>$C32&gt;$E$3</formula>
    </cfRule>
  </conditionalFormatting>
  <conditionalFormatting sqref="K32:K36">
    <cfRule type="expression" dxfId="5644" priority="198">
      <formula>$C32&lt;$E$3</formula>
    </cfRule>
  </conditionalFormatting>
  <conditionalFormatting sqref="K32:K36">
    <cfRule type="expression" dxfId="5643" priority="194">
      <formula>$C32=$E$3</formula>
    </cfRule>
    <cfRule type="expression" dxfId="5642" priority="195">
      <formula>$C32&lt;$E$3</formula>
    </cfRule>
    <cfRule type="cellIs" dxfId="5641" priority="196" operator="equal">
      <formula>0</formula>
    </cfRule>
    <cfRule type="expression" dxfId="5640" priority="197">
      <formula>$C32&gt;$E$3</formula>
    </cfRule>
  </conditionalFormatting>
  <conditionalFormatting sqref="J39:N40">
    <cfRule type="expression" dxfId="5639" priority="557">
      <formula>$L$40=0</formula>
    </cfRule>
  </conditionalFormatting>
  <conditionalFormatting sqref="K14:K20">
    <cfRule type="cellIs" dxfId="5638" priority="556" stopIfTrue="1" operator="lessThan">
      <formula>0</formula>
    </cfRule>
  </conditionalFormatting>
  <conditionalFormatting sqref="K14:K20">
    <cfRule type="expression" dxfId="5637" priority="554">
      <formula>$C14&lt;$E$3</formula>
    </cfRule>
  </conditionalFormatting>
  <conditionalFormatting sqref="K14:K20">
    <cfRule type="expression" dxfId="5636" priority="551">
      <formula>$C14=$E$3</formula>
    </cfRule>
    <cfRule type="expression" dxfId="5635" priority="552">
      <formula>$C14&lt;$E$3</formula>
    </cfRule>
    <cfRule type="cellIs" dxfId="5634" priority="553" operator="equal">
      <formula>0</formula>
    </cfRule>
    <cfRule type="expression" dxfId="5633" priority="555">
      <formula>$C14&gt;$E$3</formula>
    </cfRule>
  </conditionalFormatting>
  <conditionalFormatting sqref="K14:K20">
    <cfRule type="expression" dxfId="5632" priority="550">
      <formula>$E14=""</formula>
    </cfRule>
  </conditionalFormatting>
  <conditionalFormatting sqref="K14:K20">
    <cfRule type="expression" dxfId="5631" priority="549">
      <formula>$E14=""</formula>
    </cfRule>
  </conditionalFormatting>
  <conditionalFormatting sqref="K14:K20">
    <cfRule type="expression" dxfId="5630" priority="548">
      <formula>$E14=""</formula>
    </cfRule>
  </conditionalFormatting>
  <conditionalFormatting sqref="K19">
    <cfRule type="expression" dxfId="5629" priority="547">
      <formula>$C19&lt;$E$3</formula>
    </cfRule>
  </conditionalFormatting>
  <conditionalFormatting sqref="K19">
    <cfRule type="expression" dxfId="5628" priority="543">
      <formula>$C19=$E$3</formula>
    </cfRule>
    <cfRule type="expression" dxfId="5627" priority="544">
      <formula>$C19&lt;$E$3</formula>
    </cfRule>
    <cfRule type="cellIs" dxfId="5626" priority="545" operator="equal">
      <formula>0</formula>
    </cfRule>
    <cfRule type="expression" dxfId="5625" priority="546">
      <formula>$C19&gt;$E$3</formula>
    </cfRule>
  </conditionalFormatting>
  <conditionalFormatting sqref="K19">
    <cfRule type="expression" dxfId="5624" priority="542">
      <formula>$C19&lt;$E$3</formula>
    </cfRule>
  </conditionalFormatting>
  <conditionalFormatting sqref="K19">
    <cfRule type="expression" dxfId="5623" priority="538">
      <formula>$C19=$E$3</formula>
    </cfRule>
    <cfRule type="expression" dxfId="5622" priority="539">
      <formula>$C19&lt;$E$3</formula>
    </cfRule>
    <cfRule type="cellIs" dxfId="5621" priority="540" operator="equal">
      <formula>0</formula>
    </cfRule>
    <cfRule type="expression" dxfId="5620" priority="541">
      <formula>$C19&gt;$E$3</formula>
    </cfRule>
  </conditionalFormatting>
  <conditionalFormatting sqref="K19">
    <cfRule type="expression" dxfId="5619" priority="537">
      <formula>$C19&lt;$E$3</formula>
    </cfRule>
  </conditionalFormatting>
  <conditionalFormatting sqref="K19">
    <cfRule type="expression" dxfId="5618" priority="533">
      <formula>$C19=$E$3</formula>
    </cfRule>
    <cfRule type="expression" dxfId="5617" priority="534">
      <formula>$C19&lt;$E$3</formula>
    </cfRule>
    <cfRule type="cellIs" dxfId="5616" priority="535" operator="equal">
      <formula>0</formula>
    </cfRule>
    <cfRule type="expression" dxfId="5615" priority="536">
      <formula>$C19&gt;$E$3</formula>
    </cfRule>
  </conditionalFormatting>
  <conditionalFormatting sqref="K19">
    <cfRule type="expression" dxfId="5614" priority="532">
      <formula>$C19&lt;$E$3</formula>
    </cfRule>
  </conditionalFormatting>
  <conditionalFormatting sqref="K19">
    <cfRule type="expression" dxfId="5613" priority="528">
      <formula>$C19=$E$3</formula>
    </cfRule>
    <cfRule type="expression" dxfId="5612" priority="529">
      <formula>$C19&lt;$E$3</formula>
    </cfRule>
    <cfRule type="cellIs" dxfId="5611" priority="530" operator="equal">
      <formula>0</formula>
    </cfRule>
    <cfRule type="expression" dxfId="5610" priority="531">
      <formula>$C19&gt;$E$3</formula>
    </cfRule>
  </conditionalFormatting>
  <conditionalFormatting sqref="K19">
    <cfRule type="expression" dxfId="5609" priority="527">
      <formula>$E19=""</formula>
    </cfRule>
  </conditionalFormatting>
  <conditionalFormatting sqref="K19">
    <cfRule type="expression" dxfId="5608" priority="526">
      <formula>$C19&lt;$E$3</formula>
    </cfRule>
  </conditionalFormatting>
  <conditionalFormatting sqref="K19">
    <cfRule type="expression" dxfId="5607" priority="525">
      <formula>$E19=""</formula>
    </cfRule>
  </conditionalFormatting>
  <conditionalFormatting sqref="K19">
    <cfRule type="expression" dxfId="5606" priority="524">
      <formula>$E19=""</formula>
    </cfRule>
  </conditionalFormatting>
  <conditionalFormatting sqref="K19">
    <cfRule type="expression" dxfId="5605" priority="523">
      <formula>$C19&lt;$E$3</formula>
    </cfRule>
  </conditionalFormatting>
  <conditionalFormatting sqref="K19">
    <cfRule type="expression" dxfId="5604" priority="522">
      <formula>$E19=""</formula>
    </cfRule>
  </conditionalFormatting>
  <conditionalFormatting sqref="K19">
    <cfRule type="expression" dxfId="5603" priority="521">
      <formula>$C19&lt;$E$3</formula>
    </cfRule>
  </conditionalFormatting>
  <conditionalFormatting sqref="K19">
    <cfRule type="expression" dxfId="5602" priority="520">
      <formula>$E19=""</formula>
    </cfRule>
  </conditionalFormatting>
  <conditionalFormatting sqref="K19">
    <cfRule type="expression" dxfId="5601" priority="518">
      <formula>$E19=""</formula>
    </cfRule>
  </conditionalFormatting>
  <conditionalFormatting sqref="K19">
    <cfRule type="expression" dxfId="5600" priority="513">
      <formula>$C19=$E$3</formula>
    </cfRule>
    <cfRule type="expression" dxfId="5599" priority="514">
      <formula>$C19&lt;$E$3</formula>
    </cfRule>
    <cfRule type="cellIs" dxfId="5598" priority="515" operator="equal">
      <formula>0</formula>
    </cfRule>
    <cfRule type="expression" dxfId="5597" priority="516">
      <formula>$C19&gt;$E$3</formula>
    </cfRule>
  </conditionalFormatting>
  <conditionalFormatting sqref="K19">
    <cfRule type="expression" dxfId="5596" priority="512">
      <formula>$C19&lt;$E$3</formula>
    </cfRule>
  </conditionalFormatting>
  <conditionalFormatting sqref="K19">
    <cfRule type="expression" dxfId="5595" priority="508">
      <formula>$C19=$E$3</formula>
    </cfRule>
    <cfRule type="expression" dxfId="5594" priority="509">
      <formula>$C19&lt;$E$3</formula>
    </cfRule>
    <cfRule type="cellIs" dxfId="5593" priority="510" operator="equal">
      <formula>0</formula>
    </cfRule>
    <cfRule type="expression" dxfId="5592" priority="511">
      <formula>$C19&gt;$E$3</formula>
    </cfRule>
  </conditionalFormatting>
  <conditionalFormatting sqref="K19">
    <cfRule type="expression" dxfId="5591" priority="507">
      <formula>$C19&lt;$E$3</formula>
    </cfRule>
  </conditionalFormatting>
  <conditionalFormatting sqref="K19">
    <cfRule type="expression" dxfId="5590" priority="503">
      <formula>$C19=$E$3</formula>
    </cfRule>
    <cfRule type="expression" dxfId="5589" priority="504">
      <formula>$C19&lt;$E$3</formula>
    </cfRule>
    <cfRule type="cellIs" dxfId="5588" priority="505" operator="equal">
      <formula>0</formula>
    </cfRule>
    <cfRule type="expression" dxfId="5587" priority="506">
      <formula>$C19&gt;$E$3</formula>
    </cfRule>
  </conditionalFormatting>
  <conditionalFormatting sqref="K19">
    <cfRule type="expression" dxfId="5586" priority="502">
      <formula>$C19&lt;$E$3</formula>
    </cfRule>
  </conditionalFormatting>
  <conditionalFormatting sqref="K19">
    <cfRule type="expression" dxfId="5585" priority="498">
      <formula>$C19=$E$3</formula>
    </cfRule>
    <cfRule type="expression" dxfId="5584" priority="499">
      <formula>$C19&lt;$E$3</formula>
    </cfRule>
    <cfRule type="cellIs" dxfId="5583" priority="500" operator="equal">
      <formula>0</formula>
    </cfRule>
    <cfRule type="expression" dxfId="5582" priority="501">
      <formula>$C19&gt;$E$3</formula>
    </cfRule>
  </conditionalFormatting>
  <conditionalFormatting sqref="K19">
    <cfRule type="expression" dxfId="5581" priority="497">
      <formula>$E19=""</formula>
    </cfRule>
  </conditionalFormatting>
  <conditionalFormatting sqref="K19">
    <cfRule type="expression" dxfId="5580" priority="496">
      <formula>$C19&lt;$E$3</formula>
    </cfRule>
  </conditionalFormatting>
  <conditionalFormatting sqref="K19">
    <cfRule type="expression" dxfId="5579" priority="495">
      <formula>$E19=""</formula>
    </cfRule>
  </conditionalFormatting>
  <conditionalFormatting sqref="K19">
    <cfRule type="expression" dxfId="5578" priority="494">
      <formula>$E19=""</formula>
    </cfRule>
  </conditionalFormatting>
  <conditionalFormatting sqref="K19">
    <cfRule type="expression" dxfId="5577" priority="493">
      <formula>$C19&lt;$E$3</formula>
    </cfRule>
  </conditionalFormatting>
  <conditionalFormatting sqref="K19">
    <cfRule type="expression" dxfId="5576" priority="492">
      <formula>$E19=""</formula>
    </cfRule>
  </conditionalFormatting>
  <conditionalFormatting sqref="K19">
    <cfRule type="expression" dxfId="5575" priority="491">
      <formula>$C19&lt;$E$3</formula>
    </cfRule>
  </conditionalFormatting>
  <conditionalFormatting sqref="K19">
    <cfRule type="expression" dxfId="5574" priority="490">
      <formula>$E19=""</formula>
    </cfRule>
  </conditionalFormatting>
  <conditionalFormatting sqref="K19">
    <cfRule type="expression" dxfId="5573" priority="488">
      <formula>$E19=""</formula>
    </cfRule>
  </conditionalFormatting>
  <conditionalFormatting sqref="K14:K18">
    <cfRule type="expression" dxfId="5572" priority="483">
      <formula>$C14=$E$3</formula>
    </cfRule>
    <cfRule type="expression" dxfId="5571" priority="484">
      <formula>$C14&lt;$E$3</formula>
    </cfRule>
    <cfRule type="cellIs" dxfId="5570" priority="485" operator="equal">
      <formula>0</formula>
    </cfRule>
    <cfRule type="expression" dxfId="5569" priority="486">
      <formula>$C14&gt;$E$3</formula>
    </cfRule>
  </conditionalFormatting>
  <conditionalFormatting sqref="K14:K18">
    <cfRule type="expression" dxfId="5568" priority="482">
      <formula>$C14&lt;$E$3</formula>
    </cfRule>
  </conditionalFormatting>
  <conditionalFormatting sqref="K14:K18">
    <cfRule type="expression" dxfId="5567" priority="478">
      <formula>$C14=$E$3</formula>
    </cfRule>
    <cfRule type="expression" dxfId="5566" priority="479">
      <formula>$C14&lt;$E$3</formula>
    </cfRule>
    <cfRule type="cellIs" dxfId="5565" priority="480" operator="equal">
      <formula>0</formula>
    </cfRule>
    <cfRule type="expression" dxfId="5564" priority="481">
      <formula>$C14&gt;$E$3</formula>
    </cfRule>
  </conditionalFormatting>
  <conditionalFormatting sqref="K14:K18">
    <cfRule type="expression" dxfId="5563" priority="477">
      <formula>$C14&lt;$E$3</formula>
    </cfRule>
  </conditionalFormatting>
  <conditionalFormatting sqref="K14:K18">
    <cfRule type="expression" dxfId="5562" priority="473">
      <formula>$C14=$E$3</formula>
    </cfRule>
    <cfRule type="expression" dxfId="5561" priority="474">
      <formula>$C14&lt;$E$3</formula>
    </cfRule>
    <cfRule type="cellIs" dxfId="5560" priority="475" operator="equal">
      <formula>0</formula>
    </cfRule>
    <cfRule type="expression" dxfId="5559" priority="476">
      <formula>$C14&gt;$E$3</formula>
    </cfRule>
  </conditionalFormatting>
  <conditionalFormatting sqref="K14:K18">
    <cfRule type="expression" dxfId="5558" priority="472">
      <formula>$C14&lt;$E$3</formula>
    </cfRule>
  </conditionalFormatting>
  <conditionalFormatting sqref="K14:K18">
    <cfRule type="expression" dxfId="5557" priority="468">
      <formula>$C14=$E$3</formula>
    </cfRule>
    <cfRule type="expression" dxfId="5556" priority="469">
      <formula>$C14&lt;$E$3</formula>
    </cfRule>
    <cfRule type="cellIs" dxfId="5555" priority="470" operator="equal">
      <formula>0</formula>
    </cfRule>
    <cfRule type="expression" dxfId="5554" priority="471">
      <formula>$C14&gt;$E$3</formula>
    </cfRule>
  </conditionalFormatting>
  <conditionalFormatting sqref="K14:K18">
    <cfRule type="expression" dxfId="5553" priority="467">
      <formula>$E14=""</formula>
    </cfRule>
  </conditionalFormatting>
  <conditionalFormatting sqref="K14:K18">
    <cfRule type="expression" dxfId="5552" priority="466">
      <formula>$C14&lt;$E$3</formula>
    </cfRule>
  </conditionalFormatting>
  <conditionalFormatting sqref="K14:K18">
    <cfRule type="expression" dxfId="5551" priority="465">
      <formula>$E14=""</formula>
    </cfRule>
  </conditionalFormatting>
  <conditionalFormatting sqref="K14:K18">
    <cfRule type="expression" dxfId="5550" priority="464">
      <formula>$E14=""</formula>
    </cfRule>
  </conditionalFormatting>
  <conditionalFormatting sqref="K14:K18">
    <cfRule type="expression" dxfId="5549" priority="463">
      <formula>$C14&lt;$E$3</formula>
    </cfRule>
  </conditionalFormatting>
  <conditionalFormatting sqref="K14:K18">
    <cfRule type="expression" dxfId="5548" priority="462">
      <formula>$E14=""</formula>
    </cfRule>
  </conditionalFormatting>
  <conditionalFormatting sqref="K14:K18">
    <cfRule type="expression" dxfId="5547" priority="461">
      <formula>$C14&lt;$E$3</formula>
    </cfRule>
  </conditionalFormatting>
  <conditionalFormatting sqref="K14:K18">
    <cfRule type="expression" dxfId="5546" priority="460">
      <formula>$E14=""</formula>
    </cfRule>
  </conditionalFormatting>
  <conditionalFormatting sqref="K14:K18">
    <cfRule type="expression" dxfId="5545" priority="458">
      <formula>$E14=""</formula>
    </cfRule>
  </conditionalFormatting>
  <conditionalFormatting sqref="K14:K18">
    <cfRule type="expression" dxfId="5544" priority="453">
      <formula>$C14=$E$3</formula>
    </cfRule>
    <cfRule type="expression" dxfId="5543" priority="454">
      <formula>$C14&lt;$E$3</formula>
    </cfRule>
    <cfRule type="cellIs" dxfId="5542" priority="455" operator="equal">
      <formula>0</formula>
    </cfRule>
    <cfRule type="expression" dxfId="5541" priority="456">
      <formula>$C14&gt;$E$3</formula>
    </cfRule>
  </conditionalFormatting>
  <conditionalFormatting sqref="K14:K18">
    <cfRule type="expression" dxfId="5540" priority="452">
      <formula>$C14&lt;$E$3</formula>
    </cfRule>
  </conditionalFormatting>
  <conditionalFormatting sqref="K14:K18">
    <cfRule type="expression" dxfId="5539" priority="448">
      <formula>$C14=$E$3</formula>
    </cfRule>
    <cfRule type="expression" dxfId="5538" priority="449">
      <formula>$C14&lt;$E$3</formula>
    </cfRule>
    <cfRule type="cellIs" dxfId="5537" priority="450" operator="equal">
      <formula>0</formula>
    </cfRule>
    <cfRule type="expression" dxfId="5536" priority="451">
      <formula>$C14&gt;$E$3</formula>
    </cfRule>
  </conditionalFormatting>
  <conditionalFormatting sqref="K14:K18">
    <cfRule type="expression" dxfId="5535" priority="447">
      <formula>$C14&lt;$E$3</formula>
    </cfRule>
  </conditionalFormatting>
  <conditionalFormatting sqref="K14:K18">
    <cfRule type="expression" dxfId="5534" priority="443">
      <formula>$C14=$E$3</formula>
    </cfRule>
    <cfRule type="expression" dxfId="5533" priority="444">
      <formula>$C14&lt;$E$3</formula>
    </cfRule>
    <cfRule type="cellIs" dxfId="5532" priority="445" operator="equal">
      <formula>0</formula>
    </cfRule>
    <cfRule type="expression" dxfId="5531" priority="446">
      <formula>$C14&gt;$E$3</formula>
    </cfRule>
  </conditionalFormatting>
  <conditionalFormatting sqref="K14:K18">
    <cfRule type="expression" dxfId="5530" priority="442">
      <formula>$C14&lt;$E$3</formula>
    </cfRule>
  </conditionalFormatting>
  <conditionalFormatting sqref="K14:K18">
    <cfRule type="expression" dxfId="5529" priority="438">
      <formula>$C14=$E$3</formula>
    </cfRule>
    <cfRule type="expression" dxfId="5528" priority="439">
      <formula>$C14&lt;$E$3</formula>
    </cfRule>
    <cfRule type="cellIs" dxfId="5527" priority="440" operator="equal">
      <formula>0</formula>
    </cfRule>
    <cfRule type="expression" dxfId="5526" priority="441">
      <formula>$C14&gt;$E$3</formula>
    </cfRule>
  </conditionalFormatting>
  <conditionalFormatting sqref="K14:K18">
    <cfRule type="expression" dxfId="5525" priority="437">
      <formula>$E14=""</formula>
    </cfRule>
  </conditionalFormatting>
  <conditionalFormatting sqref="K14:K18">
    <cfRule type="expression" dxfId="5524" priority="436">
      <formula>$C14&lt;$E$3</formula>
    </cfRule>
  </conditionalFormatting>
  <conditionalFormatting sqref="K14:K18">
    <cfRule type="expression" dxfId="5523" priority="435">
      <formula>$E14=""</formula>
    </cfRule>
  </conditionalFormatting>
  <conditionalFormatting sqref="K14:K18">
    <cfRule type="expression" dxfId="5522" priority="434">
      <formula>$E14=""</formula>
    </cfRule>
  </conditionalFormatting>
  <conditionalFormatting sqref="K14:K18">
    <cfRule type="expression" dxfId="5521" priority="433">
      <formula>$C14&lt;$E$3</formula>
    </cfRule>
  </conditionalFormatting>
  <conditionalFormatting sqref="K14:K18">
    <cfRule type="expression" dxfId="5520" priority="432">
      <formula>$E14=""</formula>
    </cfRule>
  </conditionalFormatting>
  <conditionalFormatting sqref="K14:K18">
    <cfRule type="expression" dxfId="5519" priority="431">
      <formula>$C14&lt;$E$3</formula>
    </cfRule>
  </conditionalFormatting>
  <conditionalFormatting sqref="K14:K18">
    <cfRule type="expression" dxfId="5518" priority="430">
      <formula>$E14=""</formula>
    </cfRule>
  </conditionalFormatting>
  <conditionalFormatting sqref="K14:K18">
    <cfRule type="expression" dxfId="5517" priority="428">
      <formula>$E14=""</formula>
    </cfRule>
  </conditionalFormatting>
  <conditionalFormatting sqref="K14:K20">
    <cfRule type="expression" dxfId="5516" priority="426">
      <formula>$C14&lt;$E$3</formula>
    </cfRule>
  </conditionalFormatting>
  <conditionalFormatting sqref="K14:K20">
    <cfRule type="expression" dxfId="5515" priority="423">
      <formula>$C14=$E$3</formula>
    </cfRule>
    <cfRule type="expression" dxfId="5514" priority="424">
      <formula>$C14&lt;$E$3</formula>
    </cfRule>
    <cfRule type="cellIs" dxfId="5513" priority="425" operator="equal">
      <formula>0</formula>
    </cfRule>
    <cfRule type="expression" dxfId="5512" priority="427">
      <formula>$C14&gt;$E$3</formula>
    </cfRule>
  </conditionalFormatting>
  <conditionalFormatting sqref="K14:K20">
    <cfRule type="expression" dxfId="5511" priority="422">
      <formula>$E14=""</formula>
    </cfRule>
  </conditionalFormatting>
  <conditionalFormatting sqref="K14:K20">
    <cfRule type="expression" dxfId="5510" priority="421">
      <formula>$E14=""</formula>
    </cfRule>
  </conditionalFormatting>
  <conditionalFormatting sqref="K14:K20">
    <cfRule type="expression" dxfId="5509" priority="420">
      <formula>$E14=""</formula>
    </cfRule>
  </conditionalFormatting>
  <conditionalFormatting sqref="K23:K29">
    <cfRule type="cellIs" dxfId="5508" priority="419" stopIfTrue="1" operator="lessThan">
      <formula>0</formula>
    </cfRule>
  </conditionalFormatting>
  <conditionalFormatting sqref="K23:K29">
    <cfRule type="expression" dxfId="5507" priority="417">
      <formula>$C23&lt;$E$3</formula>
    </cfRule>
  </conditionalFormatting>
  <conditionalFormatting sqref="K23:K29">
    <cfRule type="expression" dxfId="5506" priority="414">
      <formula>$C23=$E$3</formula>
    </cfRule>
    <cfRule type="expression" dxfId="5505" priority="415">
      <formula>$C23&lt;$E$3</formula>
    </cfRule>
    <cfRule type="cellIs" dxfId="5504" priority="416" operator="equal">
      <formula>0</formula>
    </cfRule>
    <cfRule type="expression" dxfId="5503" priority="418">
      <formula>$C23&gt;$E$3</formula>
    </cfRule>
  </conditionalFormatting>
  <conditionalFormatting sqref="K23:K29">
    <cfRule type="expression" dxfId="5502" priority="413">
      <formula>$E23=""</formula>
    </cfRule>
  </conditionalFormatting>
  <conditionalFormatting sqref="K23:K29">
    <cfRule type="expression" dxfId="5501" priority="412">
      <formula>$E23=""</formula>
    </cfRule>
  </conditionalFormatting>
  <conditionalFormatting sqref="K23:K29">
    <cfRule type="expression" dxfId="5500" priority="411">
      <formula>$E23=""</formula>
    </cfRule>
  </conditionalFormatting>
  <conditionalFormatting sqref="K28">
    <cfRule type="expression" dxfId="5499" priority="410">
      <formula>$C28&lt;$E$3</formula>
    </cfRule>
  </conditionalFormatting>
  <conditionalFormatting sqref="K28">
    <cfRule type="expression" dxfId="5498" priority="406">
      <formula>$C28=$E$3</formula>
    </cfRule>
    <cfRule type="expression" dxfId="5497" priority="407">
      <formula>$C28&lt;$E$3</formula>
    </cfRule>
    <cfRule type="cellIs" dxfId="5496" priority="408" operator="equal">
      <formula>0</formula>
    </cfRule>
    <cfRule type="expression" dxfId="5495" priority="409">
      <formula>$C28&gt;$E$3</formula>
    </cfRule>
  </conditionalFormatting>
  <conditionalFormatting sqref="K28">
    <cfRule type="expression" dxfId="5494" priority="405">
      <formula>$C28&lt;$E$3</formula>
    </cfRule>
  </conditionalFormatting>
  <conditionalFormatting sqref="K28">
    <cfRule type="expression" dxfId="5493" priority="401">
      <formula>$C28=$E$3</formula>
    </cfRule>
    <cfRule type="expression" dxfId="5492" priority="402">
      <formula>$C28&lt;$E$3</formula>
    </cfRule>
    <cfRule type="cellIs" dxfId="5491" priority="403" operator="equal">
      <formula>0</formula>
    </cfRule>
    <cfRule type="expression" dxfId="5490" priority="404">
      <formula>$C28&gt;$E$3</formula>
    </cfRule>
  </conditionalFormatting>
  <conditionalFormatting sqref="K28">
    <cfRule type="expression" dxfId="5489" priority="400">
      <formula>$C28&lt;$E$3</formula>
    </cfRule>
  </conditionalFormatting>
  <conditionalFormatting sqref="K28">
    <cfRule type="expression" dxfId="5488" priority="396">
      <formula>$C28=$E$3</formula>
    </cfRule>
    <cfRule type="expression" dxfId="5487" priority="397">
      <formula>$C28&lt;$E$3</formula>
    </cfRule>
    <cfRule type="cellIs" dxfId="5486" priority="398" operator="equal">
      <formula>0</formula>
    </cfRule>
    <cfRule type="expression" dxfId="5485" priority="399">
      <formula>$C28&gt;$E$3</formula>
    </cfRule>
  </conditionalFormatting>
  <conditionalFormatting sqref="K28">
    <cfRule type="expression" dxfId="5484" priority="395">
      <formula>$C28&lt;$E$3</formula>
    </cfRule>
  </conditionalFormatting>
  <conditionalFormatting sqref="K28">
    <cfRule type="expression" dxfId="5483" priority="391">
      <formula>$C28=$E$3</formula>
    </cfRule>
    <cfRule type="expression" dxfId="5482" priority="392">
      <formula>$C28&lt;$E$3</formula>
    </cfRule>
    <cfRule type="cellIs" dxfId="5481" priority="393" operator="equal">
      <formula>0</formula>
    </cfRule>
    <cfRule type="expression" dxfId="5480" priority="394">
      <formula>$C28&gt;$E$3</formula>
    </cfRule>
  </conditionalFormatting>
  <conditionalFormatting sqref="K28">
    <cfRule type="expression" dxfId="5479" priority="390">
      <formula>$E28=""</formula>
    </cfRule>
  </conditionalFormatting>
  <conditionalFormatting sqref="K28">
    <cfRule type="expression" dxfId="5478" priority="389">
      <formula>$C28&lt;$E$3</formula>
    </cfRule>
  </conditionalFormatting>
  <conditionalFormatting sqref="K28">
    <cfRule type="expression" dxfId="5477" priority="388">
      <formula>$E28=""</formula>
    </cfRule>
  </conditionalFormatting>
  <conditionalFormatting sqref="K28">
    <cfRule type="expression" dxfId="5476" priority="387">
      <formula>$E28=""</formula>
    </cfRule>
  </conditionalFormatting>
  <conditionalFormatting sqref="K28">
    <cfRule type="expression" dxfId="5475" priority="386">
      <formula>$C28&lt;$E$3</formula>
    </cfRule>
  </conditionalFormatting>
  <conditionalFormatting sqref="K28">
    <cfRule type="expression" dxfId="5474" priority="385">
      <formula>$E28=""</formula>
    </cfRule>
  </conditionalFormatting>
  <conditionalFormatting sqref="K28">
    <cfRule type="expression" dxfId="5473" priority="384">
      <formula>$C28&lt;$E$3</formula>
    </cfRule>
  </conditionalFormatting>
  <conditionalFormatting sqref="K28">
    <cfRule type="expression" dxfId="5472" priority="383">
      <formula>$E28=""</formula>
    </cfRule>
  </conditionalFormatting>
  <conditionalFormatting sqref="K28">
    <cfRule type="expression" dxfId="5471" priority="381">
      <formula>$E28=""</formula>
    </cfRule>
  </conditionalFormatting>
  <conditionalFormatting sqref="K28">
    <cfRule type="expression" dxfId="5470" priority="376">
      <formula>$C28=$E$3</formula>
    </cfRule>
    <cfRule type="expression" dxfId="5469" priority="377">
      <formula>$C28&lt;$E$3</formula>
    </cfRule>
    <cfRule type="cellIs" dxfId="5468" priority="378" operator="equal">
      <formula>0</formula>
    </cfRule>
    <cfRule type="expression" dxfId="5467" priority="379">
      <formula>$C28&gt;$E$3</formula>
    </cfRule>
  </conditionalFormatting>
  <conditionalFormatting sqref="K28">
    <cfRule type="expression" dxfId="5466" priority="375">
      <formula>$C28&lt;$E$3</formula>
    </cfRule>
  </conditionalFormatting>
  <conditionalFormatting sqref="K28">
    <cfRule type="expression" dxfId="5465" priority="371">
      <formula>$C28=$E$3</formula>
    </cfRule>
    <cfRule type="expression" dxfId="5464" priority="372">
      <formula>$C28&lt;$E$3</formula>
    </cfRule>
    <cfRule type="cellIs" dxfId="5463" priority="373" operator="equal">
      <formula>0</formula>
    </cfRule>
    <cfRule type="expression" dxfId="5462" priority="374">
      <formula>$C28&gt;$E$3</formula>
    </cfRule>
  </conditionalFormatting>
  <conditionalFormatting sqref="K28">
    <cfRule type="expression" dxfId="5461" priority="370">
      <formula>$C28&lt;$E$3</formula>
    </cfRule>
  </conditionalFormatting>
  <conditionalFormatting sqref="K28">
    <cfRule type="expression" dxfId="5460" priority="366">
      <formula>$C28=$E$3</formula>
    </cfRule>
    <cfRule type="expression" dxfId="5459" priority="367">
      <formula>$C28&lt;$E$3</formula>
    </cfRule>
    <cfRule type="cellIs" dxfId="5458" priority="368" operator="equal">
      <formula>0</formula>
    </cfRule>
    <cfRule type="expression" dxfId="5457" priority="369">
      <formula>$C28&gt;$E$3</formula>
    </cfRule>
  </conditionalFormatting>
  <conditionalFormatting sqref="K28">
    <cfRule type="expression" dxfId="5456" priority="365">
      <formula>$C28&lt;$E$3</formula>
    </cfRule>
  </conditionalFormatting>
  <conditionalFormatting sqref="K28">
    <cfRule type="expression" dxfId="5455" priority="361">
      <formula>$C28=$E$3</formula>
    </cfRule>
    <cfRule type="expression" dxfId="5454" priority="362">
      <formula>$C28&lt;$E$3</formula>
    </cfRule>
    <cfRule type="cellIs" dxfId="5453" priority="363" operator="equal">
      <formula>0</formula>
    </cfRule>
    <cfRule type="expression" dxfId="5452" priority="364">
      <formula>$C28&gt;$E$3</formula>
    </cfRule>
  </conditionalFormatting>
  <conditionalFormatting sqref="K28">
    <cfRule type="expression" dxfId="5451" priority="360">
      <formula>$E28=""</formula>
    </cfRule>
  </conditionalFormatting>
  <conditionalFormatting sqref="K28">
    <cfRule type="expression" dxfId="5450" priority="359">
      <formula>$C28&lt;$E$3</formula>
    </cfRule>
  </conditionalFormatting>
  <conditionalFormatting sqref="K28">
    <cfRule type="expression" dxfId="5449" priority="358">
      <formula>$E28=""</formula>
    </cfRule>
  </conditionalFormatting>
  <conditionalFormatting sqref="K28">
    <cfRule type="expression" dxfId="5448" priority="357">
      <formula>$E28=""</formula>
    </cfRule>
  </conditionalFormatting>
  <conditionalFormatting sqref="K28">
    <cfRule type="expression" dxfId="5447" priority="356">
      <formula>$C28&lt;$E$3</formula>
    </cfRule>
  </conditionalFormatting>
  <conditionalFormatting sqref="K28">
    <cfRule type="expression" dxfId="5446" priority="355">
      <formula>$E28=""</formula>
    </cfRule>
  </conditionalFormatting>
  <conditionalFormatting sqref="K28">
    <cfRule type="expression" dxfId="5445" priority="354">
      <formula>$C28&lt;$E$3</formula>
    </cfRule>
  </conditionalFormatting>
  <conditionalFormatting sqref="K28">
    <cfRule type="expression" dxfId="5444" priority="353">
      <formula>$E28=""</formula>
    </cfRule>
  </conditionalFormatting>
  <conditionalFormatting sqref="K28">
    <cfRule type="expression" dxfId="5443" priority="351">
      <formula>$E28=""</formula>
    </cfRule>
  </conditionalFormatting>
  <conditionalFormatting sqref="K23:K27">
    <cfRule type="expression" dxfId="5442" priority="346">
      <formula>$C23=$E$3</formula>
    </cfRule>
    <cfRule type="expression" dxfId="5441" priority="347">
      <formula>$C23&lt;$E$3</formula>
    </cfRule>
    <cfRule type="cellIs" dxfId="5440" priority="348" operator="equal">
      <formula>0</formula>
    </cfRule>
    <cfRule type="expression" dxfId="5439" priority="349">
      <formula>$C23&gt;$E$3</formula>
    </cfRule>
  </conditionalFormatting>
  <conditionalFormatting sqref="K23:K27">
    <cfRule type="expression" dxfId="5438" priority="345">
      <formula>$C23&lt;$E$3</formula>
    </cfRule>
  </conditionalFormatting>
  <conditionalFormatting sqref="K23:K27">
    <cfRule type="expression" dxfId="5437" priority="341">
      <formula>$C23=$E$3</formula>
    </cfRule>
    <cfRule type="expression" dxfId="5436" priority="342">
      <formula>$C23&lt;$E$3</formula>
    </cfRule>
    <cfRule type="cellIs" dxfId="5435" priority="343" operator="equal">
      <formula>0</formula>
    </cfRule>
    <cfRule type="expression" dxfId="5434" priority="344">
      <formula>$C23&gt;$E$3</formula>
    </cfRule>
  </conditionalFormatting>
  <conditionalFormatting sqref="K23:K27">
    <cfRule type="expression" dxfId="5433" priority="340">
      <formula>$C23&lt;$E$3</formula>
    </cfRule>
  </conditionalFormatting>
  <conditionalFormatting sqref="K23:K27">
    <cfRule type="expression" dxfId="5432" priority="336">
      <formula>$C23=$E$3</formula>
    </cfRule>
    <cfRule type="expression" dxfId="5431" priority="337">
      <formula>$C23&lt;$E$3</formula>
    </cfRule>
    <cfRule type="cellIs" dxfId="5430" priority="338" operator="equal">
      <formula>0</formula>
    </cfRule>
    <cfRule type="expression" dxfId="5429" priority="339">
      <formula>$C23&gt;$E$3</formula>
    </cfRule>
  </conditionalFormatting>
  <conditionalFormatting sqref="K23:K27">
    <cfRule type="expression" dxfId="5428" priority="335">
      <formula>$C23&lt;$E$3</formula>
    </cfRule>
  </conditionalFormatting>
  <conditionalFormatting sqref="K23:K27">
    <cfRule type="expression" dxfId="5427" priority="331">
      <formula>$C23=$E$3</formula>
    </cfRule>
    <cfRule type="expression" dxfId="5426" priority="332">
      <formula>$C23&lt;$E$3</formula>
    </cfRule>
    <cfRule type="cellIs" dxfId="5425" priority="333" operator="equal">
      <formula>0</formula>
    </cfRule>
    <cfRule type="expression" dxfId="5424" priority="334">
      <formula>$C23&gt;$E$3</formula>
    </cfRule>
  </conditionalFormatting>
  <conditionalFormatting sqref="K23:K27">
    <cfRule type="expression" dxfId="5423" priority="330">
      <formula>$E23=""</formula>
    </cfRule>
  </conditionalFormatting>
  <conditionalFormatting sqref="K23:K27">
    <cfRule type="expression" dxfId="5422" priority="329">
      <formula>$C23&lt;$E$3</formula>
    </cfRule>
  </conditionalFormatting>
  <conditionalFormatting sqref="K23:K27">
    <cfRule type="expression" dxfId="5421" priority="328">
      <formula>$E23=""</formula>
    </cfRule>
  </conditionalFormatting>
  <conditionalFormatting sqref="K23:K27">
    <cfRule type="expression" dxfId="5420" priority="327">
      <formula>$E23=""</formula>
    </cfRule>
  </conditionalFormatting>
  <conditionalFormatting sqref="K23:K27">
    <cfRule type="expression" dxfId="5419" priority="326">
      <formula>$C23&lt;$E$3</formula>
    </cfRule>
  </conditionalFormatting>
  <conditionalFormatting sqref="K23:K27">
    <cfRule type="expression" dxfId="5418" priority="325">
      <formula>$E23=""</formula>
    </cfRule>
  </conditionalFormatting>
  <conditionalFormatting sqref="K23:K27">
    <cfRule type="expression" dxfId="5417" priority="324">
      <formula>$C23&lt;$E$3</formula>
    </cfRule>
  </conditionalFormatting>
  <conditionalFormatting sqref="K23:K27">
    <cfRule type="expression" dxfId="5416" priority="323">
      <formula>$E23=""</formula>
    </cfRule>
  </conditionalFormatting>
  <conditionalFormatting sqref="K23:K27">
    <cfRule type="expression" dxfId="5415" priority="321">
      <formula>$E23=""</formula>
    </cfRule>
  </conditionalFormatting>
  <conditionalFormatting sqref="K23:K27">
    <cfRule type="expression" dxfId="5414" priority="316">
      <formula>$C23=$E$3</formula>
    </cfRule>
    <cfRule type="expression" dxfId="5413" priority="317">
      <formula>$C23&lt;$E$3</formula>
    </cfRule>
    <cfRule type="cellIs" dxfId="5412" priority="318" operator="equal">
      <formula>0</formula>
    </cfRule>
    <cfRule type="expression" dxfId="5411" priority="319">
      <formula>$C23&gt;$E$3</formula>
    </cfRule>
  </conditionalFormatting>
  <conditionalFormatting sqref="K23:K27">
    <cfRule type="expression" dxfId="5410" priority="315">
      <formula>$C23&lt;$E$3</formula>
    </cfRule>
  </conditionalFormatting>
  <conditionalFormatting sqref="K23:K27">
    <cfRule type="expression" dxfId="5409" priority="311">
      <formula>$C23=$E$3</formula>
    </cfRule>
    <cfRule type="expression" dxfId="5408" priority="312">
      <formula>$C23&lt;$E$3</formula>
    </cfRule>
    <cfRule type="cellIs" dxfId="5407" priority="313" operator="equal">
      <formula>0</formula>
    </cfRule>
    <cfRule type="expression" dxfId="5406" priority="314">
      <formula>$C23&gt;$E$3</formula>
    </cfRule>
  </conditionalFormatting>
  <conditionalFormatting sqref="K23:K27">
    <cfRule type="expression" dxfId="5405" priority="310">
      <formula>$C23&lt;$E$3</formula>
    </cfRule>
  </conditionalFormatting>
  <conditionalFormatting sqref="K23:K27">
    <cfRule type="expression" dxfId="5404" priority="306">
      <formula>$C23=$E$3</formula>
    </cfRule>
    <cfRule type="expression" dxfId="5403" priority="307">
      <formula>$C23&lt;$E$3</formula>
    </cfRule>
    <cfRule type="cellIs" dxfId="5402" priority="308" operator="equal">
      <formula>0</formula>
    </cfRule>
    <cfRule type="expression" dxfId="5401" priority="309">
      <formula>$C23&gt;$E$3</formula>
    </cfRule>
  </conditionalFormatting>
  <conditionalFormatting sqref="K23:K27">
    <cfRule type="expression" dxfId="5400" priority="305">
      <formula>$C23&lt;$E$3</formula>
    </cfRule>
  </conditionalFormatting>
  <conditionalFormatting sqref="K23:K27">
    <cfRule type="expression" dxfId="5399" priority="301">
      <formula>$C23=$E$3</formula>
    </cfRule>
    <cfRule type="expression" dxfId="5398" priority="302">
      <formula>$C23&lt;$E$3</formula>
    </cfRule>
    <cfRule type="cellIs" dxfId="5397" priority="303" operator="equal">
      <formula>0</formula>
    </cfRule>
    <cfRule type="expression" dxfId="5396" priority="304">
      <formula>$C23&gt;$E$3</formula>
    </cfRule>
  </conditionalFormatting>
  <conditionalFormatting sqref="K23:K27">
    <cfRule type="expression" dxfId="5395" priority="300">
      <formula>$E23=""</formula>
    </cfRule>
  </conditionalFormatting>
  <conditionalFormatting sqref="K23:K27">
    <cfRule type="expression" dxfId="5394" priority="299">
      <formula>$C23&lt;$E$3</formula>
    </cfRule>
  </conditionalFormatting>
  <conditionalFormatting sqref="K23:K27">
    <cfRule type="expression" dxfId="5393" priority="298">
      <formula>$E23=""</formula>
    </cfRule>
  </conditionalFormatting>
  <conditionalFormatting sqref="K23:K27">
    <cfRule type="expression" dxfId="5392" priority="297">
      <formula>$E23=""</formula>
    </cfRule>
  </conditionalFormatting>
  <conditionalFormatting sqref="K23:K27">
    <cfRule type="expression" dxfId="5391" priority="296">
      <formula>$C23&lt;$E$3</formula>
    </cfRule>
  </conditionalFormatting>
  <conditionalFormatting sqref="K23:K27">
    <cfRule type="expression" dxfId="5390" priority="295">
      <formula>$E23=""</formula>
    </cfRule>
  </conditionalFormatting>
  <conditionalFormatting sqref="K23:K27">
    <cfRule type="expression" dxfId="5389" priority="294">
      <formula>$C23&lt;$E$3</formula>
    </cfRule>
  </conditionalFormatting>
  <conditionalFormatting sqref="K23:K27">
    <cfRule type="expression" dxfId="5388" priority="293">
      <formula>$E23=""</formula>
    </cfRule>
  </conditionalFormatting>
  <conditionalFormatting sqref="K23:K27">
    <cfRule type="expression" dxfId="5387" priority="291">
      <formula>$E23=""</formula>
    </cfRule>
  </conditionalFormatting>
  <conditionalFormatting sqref="K23:K29">
    <cfRule type="expression" dxfId="5386" priority="289">
      <formula>$C23&lt;$E$3</formula>
    </cfRule>
  </conditionalFormatting>
  <conditionalFormatting sqref="K23:K29">
    <cfRule type="expression" dxfId="5385" priority="286">
      <formula>$C23=$E$3</formula>
    </cfRule>
    <cfRule type="expression" dxfId="5384" priority="287">
      <formula>$C23&lt;$E$3</formula>
    </cfRule>
    <cfRule type="cellIs" dxfId="5383" priority="288" operator="equal">
      <formula>0</formula>
    </cfRule>
    <cfRule type="expression" dxfId="5382" priority="290">
      <formula>$C23&gt;$E$3</formula>
    </cfRule>
  </conditionalFormatting>
  <conditionalFormatting sqref="K23:K29">
    <cfRule type="expression" dxfId="5381" priority="285">
      <formula>$E23=""</formula>
    </cfRule>
  </conditionalFormatting>
  <conditionalFormatting sqref="K23:K29">
    <cfRule type="expression" dxfId="5380" priority="284">
      <formula>$E23=""</formula>
    </cfRule>
  </conditionalFormatting>
  <conditionalFormatting sqref="K23:K29">
    <cfRule type="expression" dxfId="5379" priority="283">
      <formula>$E23=""</formula>
    </cfRule>
  </conditionalFormatting>
  <conditionalFormatting sqref="K32:K38">
    <cfRule type="cellIs" dxfId="5378" priority="282" stopIfTrue="1" operator="lessThan">
      <formula>0</formula>
    </cfRule>
  </conditionalFormatting>
  <conditionalFormatting sqref="K32:K38">
    <cfRule type="expression" dxfId="5377" priority="280">
      <formula>$C32&lt;$E$3</formula>
    </cfRule>
  </conditionalFormatting>
  <conditionalFormatting sqref="K32:K38">
    <cfRule type="expression" dxfId="5376" priority="277">
      <formula>$C32=$E$3</formula>
    </cfRule>
    <cfRule type="expression" dxfId="5375" priority="278">
      <formula>$C32&lt;$E$3</formula>
    </cfRule>
    <cfRule type="cellIs" dxfId="5374" priority="279" operator="equal">
      <formula>0</formula>
    </cfRule>
    <cfRule type="expression" dxfId="5373" priority="281">
      <formula>$C32&gt;$E$3</formula>
    </cfRule>
  </conditionalFormatting>
  <conditionalFormatting sqref="K32:K38">
    <cfRule type="expression" dxfId="5372" priority="276">
      <formula>$E32=""</formula>
    </cfRule>
  </conditionalFormatting>
  <conditionalFormatting sqref="K32:K38">
    <cfRule type="expression" dxfId="5371" priority="275">
      <formula>$E32=""</formula>
    </cfRule>
  </conditionalFormatting>
  <conditionalFormatting sqref="K32:K38">
    <cfRule type="expression" dxfId="5370" priority="274">
      <formula>$E32=""</formula>
    </cfRule>
  </conditionalFormatting>
  <conditionalFormatting sqref="K37">
    <cfRule type="expression" dxfId="5369" priority="273">
      <formula>$C37&lt;$E$3</formula>
    </cfRule>
  </conditionalFormatting>
  <conditionalFormatting sqref="K37">
    <cfRule type="expression" dxfId="5368" priority="269">
      <formula>$C37=$E$3</formula>
    </cfRule>
    <cfRule type="expression" dxfId="5367" priority="270">
      <formula>$C37&lt;$E$3</formula>
    </cfRule>
    <cfRule type="cellIs" dxfId="5366" priority="271" operator="equal">
      <formula>0</formula>
    </cfRule>
    <cfRule type="expression" dxfId="5365" priority="272">
      <formula>$C37&gt;$E$3</formula>
    </cfRule>
  </conditionalFormatting>
  <conditionalFormatting sqref="K37">
    <cfRule type="expression" dxfId="5364" priority="268">
      <formula>$C37&lt;$E$3</formula>
    </cfRule>
  </conditionalFormatting>
  <conditionalFormatting sqref="K37">
    <cfRule type="expression" dxfId="5363" priority="264">
      <formula>$C37=$E$3</formula>
    </cfRule>
    <cfRule type="expression" dxfId="5362" priority="265">
      <formula>$C37&lt;$E$3</formula>
    </cfRule>
    <cfRule type="cellIs" dxfId="5361" priority="266" operator="equal">
      <formula>0</formula>
    </cfRule>
    <cfRule type="expression" dxfId="5360" priority="267">
      <formula>$C37&gt;$E$3</formula>
    </cfRule>
  </conditionalFormatting>
  <conditionalFormatting sqref="K37">
    <cfRule type="expression" dxfId="5359" priority="253">
      <formula>$E37=""</formula>
    </cfRule>
  </conditionalFormatting>
  <conditionalFormatting sqref="K37">
    <cfRule type="expression" dxfId="5358" priority="252">
      <formula>$C37&lt;$E$3</formula>
    </cfRule>
  </conditionalFormatting>
  <conditionalFormatting sqref="K37">
    <cfRule type="expression" dxfId="5357" priority="251">
      <formula>$E37=""</formula>
    </cfRule>
  </conditionalFormatting>
  <conditionalFormatting sqref="K37">
    <cfRule type="expression" dxfId="5356" priority="250">
      <formula>$E37=""</formula>
    </cfRule>
  </conditionalFormatting>
  <conditionalFormatting sqref="K37">
    <cfRule type="expression" dxfId="5355" priority="249">
      <formula>$C37&lt;$E$3</formula>
    </cfRule>
  </conditionalFormatting>
  <conditionalFormatting sqref="K37">
    <cfRule type="expression" dxfId="5354" priority="248">
      <formula>$E37=""</formula>
    </cfRule>
  </conditionalFormatting>
  <conditionalFormatting sqref="K37">
    <cfRule type="expression" dxfId="5353" priority="247">
      <formula>$C37&lt;$E$3</formula>
    </cfRule>
  </conditionalFormatting>
  <conditionalFormatting sqref="K37">
    <cfRule type="expression" dxfId="5352" priority="246">
      <formula>$E37=""</formula>
    </cfRule>
  </conditionalFormatting>
  <conditionalFormatting sqref="K37">
    <cfRule type="expression" dxfId="5351" priority="244">
      <formula>$E37=""</formula>
    </cfRule>
  </conditionalFormatting>
  <conditionalFormatting sqref="K37">
    <cfRule type="expression" dxfId="5350" priority="239">
      <formula>$C37=$E$3</formula>
    </cfRule>
    <cfRule type="expression" dxfId="5349" priority="240">
      <formula>$C37&lt;$E$3</formula>
    </cfRule>
    <cfRule type="cellIs" dxfId="5348" priority="241" operator="equal">
      <formula>0</formula>
    </cfRule>
    <cfRule type="expression" dxfId="5347" priority="242">
      <formula>$C37&gt;$E$3</formula>
    </cfRule>
  </conditionalFormatting>
  <conditionalFormatting sqref="K37">
    <cfRule type="expression" dxfId="5346" priority="238">
      <formula>$C37&lt;$E$3</formula>
    </cfRule>
  </conditionalFormatting>
  <conditionalFormatting sqref="K37">
    <cfRule type="expression" dxfId="5345" priority="234">
      <formula>$C37=$E$3</formula>
    </cfRule>
    <cfRule type="expression" dxfId="5344" priority="235">
      <formula>$C37&lt;$E$3</formula>
    </cfRule>
    <cfRule type="cellIs" dxfId="5343" priority="236" operator="equal">
      <formula>0</formula>
    </cfRule>
    <cfRule type="expression" dxfId="5342" priority="237">
      <formula>$C37&gt;$E$3</formula>
    </cfRule>
  </conditionalFormatting>
  <conditionalFormatting sqref="K37">
    <cfRule type="expression" dxfId="5341" priority="223">
      <formula>$E37=""</formula>
    </cfRule>
  </conditionalFormatting>
  <conditionalFormatting sqref="K37">
    <cfRule type="expression" dxfId="5340" priority="222">
      <formula>$C37&lt;$E$3</formula>
    </cfRule>
  </conditionalFormatting>
  <conditionalFormatting sqref="K37">
    <cfRule type="expression" dxfId="5339" priority="221">
      <formula>$E37=""</formula>
    </cfRule>
  </conditionalFormatting>
  <conditionalFormatting sqref="K37">
    <cfRule type="expression" dxfId="5338" priority="220">
      <formula>$E37=""</formula>
    </cfRule>
  </conditionalFormatting>
  <conditionalFormatting sqref="K37">
    <cfRule type="expression" dxfId="5337" priority="219">
      <formula>$C37&lt;$E$3</formula>
    </cfRule>
  </conditionalFormatting>
  <conditionalFormatting sqref="K37">
    <cfRule type="expression" dxfId="5336" priority="218">
      <formula>$E37=""</formula>
    </cfRule>
  </conditionalFormatting>
  <conditionalFormatting sqref="K37">
    <cfRule type="expression" dxfId="5335" priority="217">
      <formula>$C37&lt;$E$3</formula>
    </cfRule>
  </conditionalFormatting>
  <conditionalFormatting sqref="K37">
    <cfRule type="expression" dxfId="5334" priority="216">
      <formula>$E37=""</formula>
    </cfRule>
  </conditionalFormatting>
  <conditionalFormatting sqref="K37">
    <cfRule type="expression" dxfId="5333" priority="214">
      <formula>$E37=""</formula>
    </cfRule>
  </conditionalFormatting>
  <conditionalFormatting sqref="K32:K36">
    <cfRule type="expression" dxfId="5332" priority="209">
      <formula>$C32=$E$3</formula>
    </cfRule>
    <cfRule type="expression" dxfId="5331" priority="210">
      <formula>$C32&lt;$E$3</formula>
    </cfRule>
    <cfRule type="cellIs" dxfId="5330" priority="211" operator="equal">
      <formula>0</formula>
    </cfRule>
    <cfRule type="expression" dxfId="5329" priority="212">
      <formula>$C32&gt;$E$3</formula>
    </cfRule>
  </conditionalFormatting>
  <conditionalFormatting sqref="K32:K36">
    <cfRule type="expression" dxfId="5328" priority="208">
      <formula>$C32&lt;$E$3</formula>
    </cfRule>
  </conditionalFormatting>
  <conditionalFormatting sqref="K32:K36">
    <cfRule type="expression" dxfId="5327" priority="204">
      <formula>$C32=$E$3</formula>
    </cfRule>
    <cfRule type="expression" dxfId="5326" priority="205">
      <formula>$C32&lt;$E$3</formula>
    </cfRule>
    <cfRule type="cellIs" dxfId="5325" priority="206" operator="equal">
      <formula>0</formula>
    </cfRule>
    <cfRule type="expression" dxfId="5324" priority="207">
      <formula>$C32&gt;$E$3</formula>
    </cfRule>
  </conditionalFormatting>
  <conditionalFormatting sqref="K32:K36">
    <cfRule type="expression" dxfId="5323" priority="193">
      <formula>$E32=""</formula>
    </cfRule>
  </conditionalFormatting>
  <conditionalFormatting sqref="K32:K36">
    <cfRule type="expression" dxfId="5322" priority="192">
      <formula>$C32&lt;$E$3</formula>
    </cfRule>
  </conditionalFormatting>
  <conditionalFormatting sqref="K32:K36">
    <cfRule type="expression" dxfId="5321" priority="191">
      <formula>$E32=""</formula>
    </cfRule>
  </conditionalFormatting>
  <conditionalFormatting sqref="K32:K36">
    <cfRule type="expression" dxfId="5320" priority="190">
      <formula>$E32=""</formula>
    </cfRule>
  </conditionalFormatting>
  <conditionalFormatting sqref="K32:K36">
    <cfRule type="expression" dxfId="5319" priority="189">
      <formula>$C32&lt;$E$3</formula>
    </cfRule>
  </conditionalFormatting>
  <conditionalFormatting sqref="K32:K36">
    <cfRule type="expression" dxfId="5318" priority="188">
      <formula>$E32=""</formula>
    </cfRule>
  </conditionalFormatting>
  <conditionalFormatting sqref="K32:K36">
    <cfRule type="expression" dxfId="5317" priority="187">
      <formula>$C32&lt;$E$3</formula>
    </cfRule>
  </conditionalFormatting>
  <conditionalFormatting sqref="K32:K36">
    <cfRule type="expression" dxfId="5316" priority="186">
      <formula>$E32=""</formula>
    </cfRule>
  </conditionalFormatting>
  <conditionalFormatting sqref="K32:K36">
    <cfRule type="expression" dxfId="5315" priority="184">
      <formula>$E32=""</formula>
    </cfRule>
  </conditionalFormatting>
  <conditionalFormatting sqref="K32:K36">
    <cfRule type="expression" dxfId="5314" priority="179">
      <formula>$C32=$E$3</formula>
    </cfRule>
    <cfRule type="expression" dxfId="5313" priority="180">
      <formula>$C32&lt;$E$3</formula>
    </cfRule>
    <cfRule type="cellIs" dxfId="5312" priority="181" operator="equal">
      <formula>0</formula>
    </cfRule>
    <cfRule type="expression" dxfId="5311" priority="182">
      <formula>$C32&gt;$E$3</formula>
    </cfRule>
  </conditionalFormatting>
  <conditionalFormatting sqref="K32:K36">
    <cfRule type="expression" dxfId="5310" priority="178">
      <formula>$C32&lt;$E$3</formula>
    </cfRule>
  </conditionalFormatting>
  <conditionalFormatting sqref="K32:K36">
    <cfRule type="expression" dxfId="5309" priority="174">
      <formula>$C32=$E$3</formula>
    </cfRule>
    <cfRule type="expression" dxfId="5308" priority="175">
      <formula>$C32&lt;$E$3</formula>
    </cfRule>
    <cfRule type="cellIs" dxfId="5307" priority="176" operator="equal">
      <formula>0</formula>
    </cfRule>
    <cfRule type="expression" dxfId="5306" priority="177">
      <formula>$C32&gt;$E$3</formula>
    </cfRule>
  </conditionalFormatting>
  <conditionalFormatting sqref="K32:K36">
    <cfRule type="expression" dxfId="5305" priority="173">
      <formula>$C32&lt;$E$3</formula>
    </cfRule>
  </conditionalFormatting>
  <conditionalFormatting sqref="K32:K36">
    <cfRule type="expression" dxfId="5304" priority="169">
      <formula>$C32=$E$3</formula>
    </cfRule>
    <cfRule type="expression" dxfId="5303" priority="170">
      <formula>$C32&lt;$E$3</formula>
    </cfRule>
    <cfRule type="cellIs" dxfId="5302" priority="171" operator="equal">
      <formula>0</formula>
    </cfRule>
    <cfRule type="expression" dxfId="5301" priority="172">
      <formula>$C32&gt;$E$3</formula>
    </cfRule>
  </conditionalFormatting>
  <conditionalFormatting sqref="K32:K36">
    <cfRule type="expression" dxfId="5300" priority="168">
      <formula>$C32&lt;$E$3</formula>
    </cfRule>
  </conditionalFormatting>
  <conditionalFormatting sqref="K32:K36">
    <cfRule type="expression" dxfId="5299" priority="164">
      <formula>$C32=$E$3</formula>
    </cfRule>
    <cfRule type="expression" dxfId="5298" priority="165">
      <formula>$C32&lt;$E$3</formula>
    </cfRule>
    <cfRule type="cellIs" dxfId="5297" priority="166" operator="equal">
      <formula>0</formula>
    </cfRule>
    <cfRule type="expression" dxfId="5296" priority="167">
      <formula>$C32&gt;$E$3</formula>
    </cfRule>
  </conditionalFormatting>
  <conditionalFormatting sqref="K32:K36">
    <cfRule type="expression" dxfId="5295" priority="163">
      <formula>$E32=""</formula>
    </cfRule>
  </conditionalFormatting>
  <conditionalFormatting sqref="K32:K36">
    <cfRule type="expression" dxfId="5294" priority="162">
      <formula>$C32&lt;$E$3</formula>
    </cfRule>
  </conditionalFormatting>
  <conditionalFormatting sqref="K32:K36">
    <cfRule type="expression" dxfId="5293" priority="161">
      <formula>$E32=""</formula>
    </cfRule>
  </conditionalFormatting>
  <conditionalFormatting sqref="K32:K36">
    <cfRule type="expression" dxfId="5292" priority="160">
      <formula>$E32=""</formula>
    </cfRule>
  </conditionalFormatting>
  <conditionalFormatting sqref="K32:K36">
    <cfRule type="expression" dxfId="5291" priority="159">
      <formula>$C32&lt;$E$3</formula>
    </cfRule>
  </conditionalFormatting>
  <conditionalFormatting sqref="K32:K36">
    <cfRule type="expression" dxfId="5290" priority="158">
      <formula>$E32=""</formula>
    </cfRule>
  </conditionalFormatting>
  <conditionalFormatting sqref="K32:K36">
    <cfRule type="expression" dxfId="5289" priority="157">
      <formula>$C32&lt;$E$3</formula>
    </cfRule>
  </conditionalFormatting>
  <conditionalFormatting sqref="K32:K36">
    <cfRule type="expression" dxfId="5288" priority="156">
      <formula>$E32=""</formula>
    </cfRule>
  </conditionalFormatting>
  <conditionalFormatting sqref="K32:K36">
    <cfRule type="expression" dxfId="5287" priority="154">
      <formula>$E32=""</formula>
    </cfRule>
  </conditionalFormatting>
  <conditionalFormatting sqref="K32:K38">
    <cfRule type="expression" dxfId="5286" priority="152">
      <formula>$C32&lt;$E$3</formula>
    </cfRule>
  </conditionalFormatting>
  <conditionalFormatting sqref="K32:K38">
    <cfRule type="expression" dxfId="5285" priority="149">
      <formula>$C32=$E$3</formula>
    </cfRule>
    <cfRule type="expression" dxfId="5284" priority="150">
      <formula>$C32&lt;$E$3</formula>
    </cfRule>
    <cfRule type="cellIs" dxfId="5283" priority="151" operator="equal">
      <formula>0</formula>
    </cfRule>
    <cfRule type="expression" dxfId="5282" priority="153">
      <formula>$C32&gt;$E$3</formula>
    </cfRule>
  </conditionalFormatting>
  <conditionalFormatting sqref="K32:K38">
    <cfRule type="expression" dxfId="5281" priority="148">
      <formula>$E32=""</formula>
    </cfRule>
  </conditionalFormatting>
  <conditionalFormatting sqref="K32:K38">
    <cfRule type="expression" dxfId="5280" priority="147">
      <formula>$E32=""</formula>
    </cfRule>
  </conditionalFormatting>
  <conditionalFormatting sqref="K32:K38">
    <cfRule type="expression" dxfId="5279" priority="146">
      <formula>$E32=""</formula>
    </cfRule>
  </conditionalFormatting>
  <conditionalFormatting sqref="K41:K47">
    <cfRule type="cellIs" dxfId="5278" priority="145" stopIfTrue="1" operator="lessThan">
      <formula>0</formula>
    </cfRule>
  </conditionalFormatting>
  <conditionalFormatting sqref="K41:K47">
    <cfRule type="expression" dxfId="5277" priority="143">
      <formula>$C41&lt;$E$3</formula>
    </cfRule>
  </conditionalFormatting>
  <conditionalFormatting sqref="K41:K47">
    <cfRule type="expression" dxfId="5276" priority="140">
      <formula>$C41=$E$3</formula>
    </cfRule>
    <cfRule type="expression" dxfId="5275" priority="141">
      <formula>$C41&lt;$E$3</formula>
    </cfRule>
    <cfRule type="cellIs" dxfId="5274" priority="142" operator="equal">
      <formula>0</formula>
    </cfRule>
    <cfRule type="expression" dxfId="5273" priority="144">
      <formula>$C41&gt;$E$3</formula>
    </cfRule>
  </conditionalFormatting>
  <conditionalFormatting sqref="K41:K47">
    <cfRule type="expression" dxfId="5272" priority="139">
      <formula>$E41=""</formula>
    </cfRule>
  </conditionalFormatting>
  <conditionalFormatting sqref="K41:K47">
    <cfRule type="expression" dxfId="5271" priority="138">
      <formula>$E41=""</formula>
    </cfRule>
  </conditionalFormatting>
  <conditionalFormatting sqref="K41:K47">
    <cfRule type="expression" dxfId="5270" priority="137">
      <formula>$E41=""</formula>
    </cfRule>
  </conditionalFormatting>
  <conditionalFormatting sqref="K46">
    <cfRule type="expression" dxfId="5269" priority="136">
      <formula>$C46&lt;$E$3</formula>
    </cfRule>
  </conditionalFormatting>
  <conditionalFormatting sqref="K46">
    <cfRule type="expression" dxfId="5268" priority="132">
      <formula>$C46=$E$3</formula>
    </cfRule>
    <cfRule type="expression" dxfId="5267" priority="133">
      <formula>$C46&lt;$E$3</formula>
    </cfRule>
    <cfRule type="cellIs" dxfId="5266" priority="134" operator="equal">
      <formula>0</formula>
    </cfRule>
    <cfRule type="expression" dxfId="5265" priority="135">
      <formula>$C46&gt;$E$3</formula>
    </cfRule>
  </conditionalFormatting>
  <conditionalFormatting sqref="K46">
    <cfRule type="expression" dxfId="5264" priority="131">
      <formula>$C46&lt;$E$3</formula>
    </cfRule>
  </conditionalFormatting>
  <conditionalFormatting sqref="K46">
    <cfRule type="expression" dxfId="5263" priority="127">
      <formula>$C46=$E$3</formula>
    </cfRule>
    <cfRule type="expression" dxfId="5262" priority="128">
      <formula>$C46&lt;$E$3</formula>
    </cfRule>
    <cfRule type="cellIs" dxfId="5261" priority="129" operator="equal">
      <formula>0</formula>
    </cfRule>
    <cfRule type="expression" dxfId="5260" priority="130">
      <formula>$C46&gt;$E$3</formula>
    </cfRule>
  </conditionalFormatting>
  <conditionalFormatting sqref="K46">
    <cfRule type="expression" dxfId="5259" priority="126">
      <formula>$C46&lt;$E$3</formula>
    </cfRule>
  </conditionalFormatting>
  <conditionalFormatting sqref="K46">
    <cfRule type="expression" dxfId="5258" priority="122">
      <formula>$C46=$E$3</formula>
    </cfRule>
    <cfRule type="expression" dxfId="5257" priority="123">
      <formula>$C46&lt;$E$3</formula>
    </cfRule>
    <cfRule type="cellIs" dxfId="5256" priority="124" operator="equal">
      <formula>0</formula>
    </cfRule>
    <cfRule type="expression" dxfId="5255" priority="125">
      <formula>$C46&gt;$E$3</formula>
    </cfRule>
  </conditionalFormatting>
  <conditionalFormatting sqref="K46">
    <cfRule type="expression" dxfId="5254" priority="121">
      <formula>$C46&lt;$E$3</formula>
    </cfRule>
  </conditionalFormatting>
  <conditionalFormatting sqref="K46">
    <cfRule type="expression" dxfId="5253" priority="117">
      <formula>$C46=$E$3</formula>
    </cfRule>
    <cfRule type="expression" dxfId="5252" priority="118">
      <formula>$C46&lt;$E$3</formula>
    </cfRule>
    <cfRule type="cellIs" dxfId="5251" priority="119" operator="equal">
      <formula>0</formula>
    </cfRule>
    <cfRule type="expression" dxfId="5250" priority="120">
      <formula>$C46&gt;$E$3</formula>
    </cfRule>
  </conditionalFormatting>
  <conditionalFormatting sqref="K46">
    <cfRule type="expression" dxfId="5249" priority="116">
      <formula>$E46=""</formula>
    </cfRule>
  </conditionalFormatting>
  <conditionalFormatting sqref="K46">
    <cfRule type="expression" dxfId="5248" priority="115">
      <formula>$C46&lt;$E$3</formula>
    </cfRule>
  </conditionalFormatting>
  <conditionalFormatting sqref="K46">
    <cfRule type="expression" dxfId="5247" priority="114">
      <formula>$E46=""</formula>
    </cfRule>
  </conditionalFormatting>
  <conditionalFormatting sqref="K46">
    <cfRule type="expression" dxfId="5246" priority="113">
      <formula>$E46=""</formula>
    </cfRule>
  </conditionalFormatting>
  <conditionalFormatting sqref="K46">
    <cfRule type="expression" dxfId="5245" priority="112">
      <formula>$C46&lt;$E$3</formula>
    </cfRule>
  </conditionalFormatting>
  <conditionalFormatting sqref="K46">
    <cfRule type="expression" dxfId="5244" priority="111">
      <formula>$E46=""</formula>
    </cfRule>
  </conditionalFormatting>
  <conditionalFormatting sqref="K46">
    <cfRule type="expression" dxfId="5243" priority="110">
      <formula>$C46&lt;$E$3</formula>
    </cfRule>
  </conditionalFormatting>
  <conditionalFormatting sqref="K46">
    <cfRule type="expression" dxfId="5242" priority="109">
      <formula>$E46=""</formula>
    </cfRule>
  </conditionalFormatting>
  <conditionalFormatting sqref="K46">
    <cfRule type="expression" dxfId="5241" priority="107">
      <formula>$E46=""</formula>
    </cfRule>
  </conditionalFormatting>
  <conditionalFormatting sqref="K46">
    <cfRule type="expression" dxfId="5240" priority="102">
      <formula>$C46=$E$3</formula>
    </cfRule>
    <cfRule type="expression" dxfId="5239" priority="103">
      <formula>$C46&lt;$E$3</formula>
    </cfRule>
    <cfRule type="cellIs" dxfId="5238" priority="104" operator="equal">
      <formula>0</formula>
    </cfRule>
    <cfRule type="expression" dxfId="5237" priority="105">
      <formula>$C46&gt;$E$3</formula>
    </cfRule>
  </conditionalFormatting>
  <conditionalFormatting sqref="K46">
    <cfRule type="expression" dxfId="5236" priority="101">
      <formula>$C46&lt;$E$3</formula>
    </cfRule>
  </conditionalFormatting>
  <conditionalFormatting sqref="K46">
    <cfRule type="expression" dxfId="5235" priority="97">
      <formula>$C46=$E$3</formula>
    </cfRule>
    <cfRule type="expression" dxfId="5234" priority="98">
      <formula>$C46&lt;$E$3</formula>
    </cfRule>
    <cfRule type="cellIs" dxfId="5233" priority="99" operator="equal">
      <formula>0</formula>
    </cfRule>
    <cfRule type="expression" dxfId="5232" priority="100">
      <formula>$C46&gt;$E$3</formula>
    </cfRule>
  </conditionalFormatting>
  <conditionalFormatting sqref="K46">
    <cfRule type="expression" dxfId="5231" priority="96">
      <formula>$C46&lt;$E$3</formula>
    </cfRule>
  </conditionalFormatting>
  <conditionalFormatting sqref="K46">
    <cfRule type="expression" dxfId="5230" priority="92">
      <formula>$C46=$E$3</formula>
    </cfRule>
    <cfRule type="expression" dxfId="5229" priority="93">
      <formula>$C46&lt;$E$3</formula>
    </cfRule>
    <cfRule type="cellIs" dxfId="5228" priority="94" operator="equal">
      <formula>0</formula>
    </cfRule>
    <cfRule type="expression" dxfId="5227" priority="95">
      <formula>$C46&gt;$E$3</formula>
    </cfRule>
  </conditionalFormatting>
  <conditionalFormatting sqref="K46">
    <cfRule type="expression" dxfId="5226" priority="91">
      <formula>$C46&lt;$E$3</formula>
    </cfRule>
  </conditionalFormatting>
  <conditionalFormatting sqref="K46">
    <cfRule type="expression" dxfId="5225" priority="87">
      <formula>$C46=$E$3</formula>
    </cfRule>
    <cfRule type="expression" dxfId="5224" priority="88">
      <formula>$C46&lt;$E$3</formula>
    </cfRule>
    <cfRule type="cellIs" dxfId="5223" priority="89" operator="equal">
      <formula>0</formula>
    </cfRule>
    <cfRule type="expression" dxfId="5222" priority="90">
      <formula>$C46&gt;$E$3</formula>
    </cfRule>
  </conditionalFormatting>
  <conditionalFormatting sqref="K46">
    <cfRule type="expression" dxfId="5221" priority="86">
      <formula>$E46=""</formula>
    </cfRule>
  </conditionalFormatting>
  <conditionalFormatting sqref="K46">
    <cfRule type="expression" dxfId="5220" priority="85">
      <formula>$C46&lt;$E$3</formula>
    </cfRule>
  </conditionalFormatting>
  <conditionalFormatting sqref="K46">
    <cfRule type="expression" dxfId="5219" priority="84">
      <formula>$E46=""</formula>
    </cfRule>
  </conditionalFormatting>
  <conditionalFormatting sqref="K46">
    <cfRule type="expression" dxfId="5218" priority="83">
      <formula>$E46=""</formula>
    </cfRule>
  </conditionalFormatting>
  <conditionalFormatting sqref="K46">
    <cfRule type="expression" dxfId="5217" priority="82">
      <formula>$C46&lt;$E$3</formula>
    </cfRule>
  </conditionalFormatting>
  <conditionalFormatting sqref="K46">
    <cfRule type="expression" dxfId="5216" priority="81">
      <formula>$E46=""</formula>
    </cfRule>
  </conditionalFormatting>
  <conditionalFormatting sqref="K46">
    <cfRule type="expression" dxfId="5215" priority="80">
      <formula>$C46&lt;$E$3</formula>
    </cfRule>
  </conditionalFormatting>
  <conditionalFormatting sqref="K46">
    <cfRule type="expression" dxfId="5214" priority="79">
      <formula>$E46=""</formula>
    </cfRule>
  </conditionalFormatting>
  <conditionalFormatting sqref="K46">
    <cfRule type="expression" dxfId="5213" priority="77">
      <formula>$E46=""</formula>
    </cfRule>
  </conditionalFormatting>
  <conditionalFormatting sqref="K41:K45">
    <cfRule type="expression" dxfId="5212" priority="72">
      <formula>$C41=$E$3</formula>
    </cfRule>
    <cfRule type="expression" dxfId="5211" priority="73">
      <formula>$C41&lt;$E$3</formula>
    </cfRule>
    <cfRule type="cellIs" dxfId="5210" priority="74" operator="equal">
      <formula>0</formula>
    </cfRule>
    <cfRule type="expression" dxfId="5209" priority="75">
      <formula>$C41&gt;$E$3</formula>
    </cfRule>
  </conditionalFormatting>
  <conditionalFormatting sqref="K41:K45">
    <cfRule type="expression" dxfId="5208" priority="71">
      <formula>$C41&lt;$E$3</formula>
    </cfRule>
  </conditionalFormatting>
  <conditionalFormatting sqref="K41:K45">
    <cfRule type="expression" dxfId="5207" priority="67">
      <formula>$C41=$E$3</formula>
    </cfRule>
    <cfRule type="expression" dxfId="5206" priority="68">
      <formula>$C41&lt;$E$3</formula>
    </cfRule>
    <cfRule type="cellIs" dxfId="5205" priority="69" operator="equal">
      <formula>0</formula>
    </cfRule>
    <cfRule type="expression" dxfId="5204" priority="70">
      <formula>$C41&gt;$E$3</formula>
    </cfRule>
  </conditionalFormatting>
  <conditionalFormatting sqref="K41:K45">
    <cfRule type="expression" dxfId="5203" priority="66">
      <formula>$C41&lt;$E$3</formula>
    </cfRule>
  </conditionalFormatting>
  <conditionalFormatting sqref="K41:K45">
    <cfRule type="expression" dxfId="5202" priority="62">
      <formula>$C41=$E$3</formula>
    </cfRule>
    <cfRule type="expression" dxfId="5201" priority="63">
      <formula>$C41&lt;$E$3</formula>
    </cfRule>
    <cfRule type="cellIs" dxfId="5200" priority="64" operator="equal">
      <formula>0</formula>
    </cfRule>
    <cfRule type="expression" dxfId="5199" priority="65">
      <formula>$C41&gt;$E$3</formula>
    </cfRule>
  </conditionalFormatting>
  <conditionalFormatting sqref="K41:K45">
    <cfRule type="expression" dxfId="5198" priority="61">
      <formula>$C41&lt;$E$3</formula>
    </cfRule>
  </conditionalFormatting>
  <conditionalFormatting sqref="K41:K45">
    <cfRule type="expression" dxfId="5197" priority="57">
      <formula>$C41=$E$3</formula>
    </cfRule>
    <cfRule type="expression" dxfId="5196" priority="58">
      <formula>$C41&lt;$E$3</formula>
    </cfRule>
    <cfRule type="cellIs" dxfId="5195" priority="59" operator="equal">
      <formula>0</formula>
    </cfRule>
    <cfRule type="expression" dxfId="5194" priority="60">
      <formula>$C41&gt;$E$3</formula>
    </cfRule>
  </conditionalFormatting>
  <conditionalFormatting sqref="K41:K45">
    <cfRule type="expression" dxfId="5193" priority="56">
      <formula>$E41=""</formula>
    </cfRule>
  </conditionalFormatting>
  <conditionalFormatting sqref="K41:K45">
    <cfRule type="expression" dxfId="5192" priority="55">
      <formula>$C41&lt;$E$3</formula>
    </cfRule>
  </conditionalFormatting>
  <conditionalFormatting sqref="K41:K45">
    <cfRule type="expression" dxfId="5191" priority="54">
      <formula>$E41=""</formula>
    </cfRule>
  </conditionalFormatting>
  <conditionalFormatting sqref="K41:K45">
    <cfRule type="expression" dxfId="5190" priority="53">
      <formula>$E41=""</formula>
    </cfRule>
  </conditionalFormatting>
  <conditionalFormatting sqref="K41:K45">
    <cfRule type="expression" dxfId="5189" priority="52">
      <formula>$C41&lt;$E$3</formula>
    </cfRule>
  </conditionalFormatting>
  <conditionalFormatting sqref="K41:K45">
    <cfRule type="expression" dxfId="5188" priority="51">
      <formula>$E41=""</formula>
    </cfRule>
  </conditionalFormatting>
  <conditionalFormatting sqref="K41:K45">
    <cfRule type="expression" dxfId="5187" priority="50">
      <formula>$C41&lt;$E$3</formula>
    </cfRule>
  </conditionalFormatting>
  <conditionalFormatting sqref="K41:K45">
    <cfRule type="expression" dxfId="5186" priority="49">
      <formula>$E41=""</formula>
    </cfRule>
  </conditionalFormatting>
  <conditionalFormatting sqref="K41:K45">
    <cfRule type="expression" dxfId="5185" priority="47">
      <formula>$E41=""</formula>
    </cfRule>
  </conditionalFormatting>
  <conditionalFormatting sqref="K41:K45">
    <cfRule type="expression" dxfId="5184" priority="42">
      <formula>$C41=$E$3</formula>
    </cfRule>
    <cfRule type="expression" dxfId="5183" priority="43">
      <formula>$C41&lt;$E$3</formula>
    </cfRule>
    <cfRule type="cellIs" dxfId="5182" priority="44" operator="equal">
      <formula>0</formula>
    </cfRule>
    <cfRule type="expression" dxfId="5181" priority="45">
      <formula>$C41&gt;$E$3</formula>
    </cfRule>
  </conditionalFormatting>
  <conditionalFormatting sqref="K41:K45">
    <cfRule type="expression" dxfId="5180" priority="41">
      <formula>$C41&lt;$E$3</formula>
    </cfRule>
  </conditionalFormatting>
  <conditionalFormatting sqref="K41:K45">
    <cfRule type="expression" dxfId="5179" priority="37">
      <formula>$C41=$E$3</formula>
    </cfRule>
    <cfRule type="expression" dxfId="5178" priority="38">
      <formula>$C41&lt;$E$3</formula>
    </cfRule>
    <cfRule type="cellIs" dxfId="5177" priority="39" operator="equal">
      <formula>0</formula>
    </cfRule>
    <cfRule type="expression" dxfId="5176" priority="40">
      <formula>$C41&gt;$E$3</formula>
    </cfRule>
  </conditionalFormatting>
  <conditionalFormatting sqref="K41:K45">
    <cfRule type="expression" dxfId="5175" priority="36">
      <formula>$C41&lt;$E$3</formula>
    </cfRule>
  </conditionalFormatting>
  <conditionalFormatting sqref="K41:K45">
    <cfRule type="expression" dxfId="5174" priority="32">
      <formula>$C41=$E$3</formula>
    </cfRule>
    <cfRule type="expression" dxfId="5173" priority="33">
      <formula>$C41&lt;$E$3</formula>
    </cfRule>
    <cfRule type="cellIs" dxfId="5172" priority="34" operator="equal">
      <formula>0</formula>
    </cfRule>
    <cfRule type="expression" dxfId="5171" priority="35">
      <formula>$C41&gt;$E$3</formula>
    </cfRule>
  </conditionalFormatting>
  <conditionalFormatting sqref="K41:K45">
    <cfRule type="expression" dxfId="5170" priority="31">
      <formula>$C41&lt;$E$3</formula>
    </cfRule>
  </conditionalFormatting>
  <conditionalFormatting sqref="K41:K45">
    <cfRule type="expression" dxfId="5169" priority="27">
      <formula>$C41=$E$3</formula>
    </cfRule>
    <cfRule type="expression" dxfId="5168" priority="28">
      <formula>$C41&lt;$E$3</formula>
    </cfRule>
    <cfRule type="cellIs" dxfId="5167" priority="29" operator="equal">
      <formula>0</formula>
    </cfRule>
    <cfRule type="expression" dxfId="5166" priority="30">
      <formula>$C41&gt;$E$3</formula>
    </cfRule>
  </conditionalFormatting>
  <conditionalFormatting sqref="K41:K45">
    <cfRule type="expression" dxfId="5165" priority="26">
      <formula>$E41=""</formula>
    </cfRule>
  </conditionalFormatting>
  <conditionalFormatting sqref="K41:K45">
    <cfRule type="expression" dxfId="5164" priority="25">
      <formula>$C41&lt;$E$3</formula>
    </cfRule>
  </conditionalFormatting>
  <conditionalFormatting sqref="K41:K45">
    <cfRule type="expression" dxfId="5163" priority="24">
      <formula>$E41=""</formula>
    </cfRule>
  </conditionalFormatting>
  <conditionalFormatting sqref="K41:K45">
    <cfRule type="expression" dxfId="5162" priority="23">
      <formula>$E41=""</formula>
    </cfRule>
  </conditionalFormatting>
  <conditionalFormatting sqref="K41:K45">
    <cfRule type="expression" dxfId="5161" priority="22">
      <formula>$C41&lt;$E$3</formula>
    </cfRule>
  </conditionalFormatting>
  <conditionalFormatting sqref="K41:K45">
    <cfRule type="expression" dxfId="5160" priority="21">
      <formula>$E41=""</formula>
    </cfRule>
  </conditionalFormatting>
  <conditionalFormatting sqref="K41:K45">
    <cfRule type="expression" dxfId="5159" priority="20">
      <formula>$C41&lt;$E$3</formula>
    </cfRule>
  </conditionalFormatting>
  <conditionalFormatting sqref="K41:K45">
    <cfRule type="expression" dxfId="5158" priority="19">
      <formula>$E41=""</formula>
    </cfRule>
  </conditionalFormatting>
  <conditionalFormatting sqref="K41:K45">
    <cfRule type="expression" dxfId="5157" priority="17">
      <formula>$E41=""</formula>
    </cfRule>
  </conditionalFormatting>
  <conditionalFormatting sqref="K41:K47">
    <cfRule type="expression" dxfId="5156" priority="15">
      <formula>$C41&lt;$E$3</formula>
    </cfRule>
  </conditionalFormatting>
  <conditionalFormatting sqref="K41:K47">
    <cfRule type="expression" dxfId="5155" priority="12">
      <formula>$C41=$E$3</formula>
    </cfRule>
    <cfRule type="expression" dxfId="5154" priority="13">
      <formula>$C41&lt;$E$3</formula>
    </cfRule>
    <cfRule type="cellIs" dxfId="5153" priority="14" operator="equal">
      <formula>0</formula>
    </cfRule>
    <cfRule type="expression" dxfId="5152" priority="16">
      <formula>$C41&gt;$E$3</formula>
    </cfRule>
  </conditionalFormatting>
  <conditionalFormatting sqref="K41:K47">
    <cfRule type="expression" dxfId="5151" priority="11">
      <formula>$E41=""</formula>
    </cfRule>
  </conditionalFormatting>
  <conditionalFormatting sqref="K41:K47">
    <cfRule type="expression" dxfId="5150" priority="10">
      <formula>$E41=""</formula>
    </cfRule>
  </conditionalFormatting>
  <conditionalFormatting sqref="K41:K47">
    <cfRule type="expression" dxfId="5149" priority="9">
      <formula>$E41=""</formula>
    </cfRule>
  </conditionalFormatting>
  <conditionalFormatting sqref="N20 N18 N16">
    <cfRule type="cellIs" dxfId="5148" priority="8" stopIfTrue="1" operator="lessThan">
      <formula>0</formula>
    </cfRule>
  </conditionalFormatting>
  <conditionalFormatting sqref="N23 N27:N28">
    <cfRule type="cellIs" dxfId="5147" priority="7" stopIfTrue="1" operator="lessThan">
      <formula>0</formula>
    </cfRule>
  </conditionalFormatting>
  <conditionalFormatting sqref="N32:N34 N36 N38">
    <cfRule type="cellIs" dxfId="5146" priority="6" stopIfTrue="1" operator="lessThan">
      <formula>0</formula>
    </cfRule>
  </conditionalFormatting>
  <conditionalFormatting sqref="N41:N47">
    <cfRule type="cellIs" dxfId="5145" priority="5" stopIfTrue="1" operator="lessThan">
      <formula>0</formula>
    </cfRule>
  </conditionalFormatting>
  <printOptions horizontalCentered="1" verticalCentered="1"/>
  <pageMargins left="0.70866141732283472" right="0.63" top="0.27559055118110237" bottom="0.27559055118110237" header="0.19685039370078741" footer="0.19685039370078741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MY STATS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Sheet1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&amp; Neil</dc:creator>
  <cp:lastModifiedBy>Dave Davenport</cp:lastModifiedBy>
  <cp:lastPrinted>2009-12-02T13:59:26Z</cp:lastPrinted>
  <dcterms:created xsi:type="dcterms:W3CDTF">2009-12-02T13:28:12Z</dcterms:created>
  <dcterms:modified xsi:type="dcterms:W3CDTF">2023-12-31T12:18:43Z</dcterms:modified>
</cp:coreProperties>
</file>